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6886807986\Downloads\"/>
    </mc:Choice>
  </mc:AlternateContent>
  <xr:revisionPtr revIDLastSave="0" documentId="13_ncr:1_{02E414D2-0DE9-413F-B208-A51FBC4857AF}" xr6:coauthVersionLast="47" xr6:coauthVersionMax="47" xr10:uidLastSave="{00000000-0000-0000-0000-000000000000}"/>
  <bookViews>
    <workbookView xWindow="-120" yWindow="-120" windowWidth="25440" windowHeight="15390" tabRatio="500" activeTab="2" xr2:uid="{00000000-000D-0000-FFFF-FFFF00000000}"/>
  </bookViews>
  <sheets>
    <sheet name="Quadro_proposta FOZ" sheetId="1" r:id="rId1"/>
    <sheet name="quadro Proposta- DCA" sheetId="8" r:id="rId2"/>
    <sheet name="PCFP-CUSTOS_FIXOS-Equipe_Reside" sheetId="2" r:id="rId3"/>
    <sheet name="PCFP-CUSTOS_VARIÁVEIS" sheetId="3" r:id="rId4"/>
    <sheet name="LDI" sheetId="4" r:id="rId5"/>
    <sheet name="LDI2" sheetId="5" r:id="rId6"/>
    <sheet name="Garantia" sheetId="6" r:id="rId7"/>
  </sheets>
  <definedNames>
    <definedName name="_xlnm.Print_Area" localSheetId="4">LDI!$A$1:$D$21</definedName>
    <definedName name="_xlnm.Print_Area" localSheetId="0">'Quadro_proposta FOZ'!$A$1:$D$18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4" i="2" l="1"/>
  <c r="N14" i="2" s="1"/>
  <c r="A4" i="8"/>
  <c r="A6" i="1"/>
  <c r="M18" i="2"/>
  <c r="N18" i="2" s="1"/>
  <c r="M17" i="2"/>
  <c r="N17" i="2" s="1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31" i="2"/>
  <c r="G109" i="2"/>
  <c r="F109" i="2"/>
  <c r="E109" i="2"/>
  <c r="D109" i="2"/>
  <c r="G68" i="2"/>
  <c r="C70" i="2"/>
  <c r="G127" i="2"/>
  <c r="G43" i="2"/>
  <c r="G88" i="2" s="1"/>
  <c r="D20" i="2"/>
  <c r="C17" i="3"/>
  <c r="E17" i="3" s="1"/>
  <c r="C16" i="3"/>
  <c r="E16" i="3" s="1"/>
  <c r="C15" i="3"/>
  <c r="E15" i="3" s="1"/>
  <c r="C14" i="3"/>
  <c r="E14" i="3" s="1"/>
  <c r="C13" i="3"/>
  <c r="E13" i="3" s="1"/>
  <c r="C12" i="3"/>
  <c r="E12" i="3" s="1"/>
  <c r="C11" i="3"/>
  <c r="E11" i="3" s="1"/>
  <c r="C10" i="3"/>
  <c r="E10" i="3" s="1"/>
  <c r="C9" i="3"/>
  <c r="E9" i="3" s="1"/>
  <c r="C8" i="3"/>
  <c r="E8" i="3" s="1"/>
  <c r="C7" i="3"/>
  <c r="E7" i="3" s="1"/>
  <c r="C6" i="3"/>
  <c r="E6" i="3" s="1"/>
  <c r="C5" i="3"/>
  <c r="E5" i="3" s="1"/>
  <c r="E16" i="6" l="1"/>
  <c r="E17" i="6" s="1"/>
  <c r="E10" i="6"/>
  <c r="E11" i="6" s="1"/>
  <c r="G96" i="2"/>
  <c r="G89" i="2"/>
  <c r="G98" i="2"/>
  <c r="G128" i="2"/>
  <c r="G99" i="2"/>
  <c r="G86" i="2"/>
  <c r="G72" i="2"/>
  <c r="G73" i="2" s="1"/>
  <c r="G80" i="2" s="1"/>
  <c r="G95" i="2"/>
  <c r="G87" i="2"/>
  <c r="G84" i="2"/>
  <c r="E18" i="3"/>
  <c r="M74" i="2"/>
  <c r="C107" i="2" s="1"/>
  <c r="G107" i="2" s="1"/>
  <c r="D33" i="2"/>
  <c r="D26" i="2"/>
  <c r="M6" i="2"/>
  <c r="N6" i="2" s="1"/>
  <c r="M7" i="2"/>
  <c r="N7" i="2" s="1"/>
  <c r="M8" i="2"/>
  <c r="N8" i="2" s="1"/>
  <c r="M9" i="2"/>
  <c r="N9" i="2" s="1"/>
  <c r="M10" i="2"/>
  <c r="N10" i="2" s="1"/>
  <c r="M11" i="2"/>
  <c r="N11" i="2" s="1"/>
  <c r="M12" i="2"/>
  <c r="N12" i="2" s="1"/>
  <c r="M13" i="2"/>
  <c r="N13" i="2" s="1"/>
  <c r="M15" i="2"/>
  <c r="N15" i="2" s="1"/>
  <c r="M16" i="2"/>
  <c r="N16" i="2" s="1"/>
  <c r="M5" i="2"/>
  <c r="E21" i="3"/>
  <c r="F108" i="2"/>
  <c r="E108" i="2"/>
  <c r="D108" i="2"/>
  <c r="N5" i="2" l="1"/>
  <c r="N19" i="2" s="1"/>
  <c r="C106" i="2" s="1"/>
  <c r="E26" i="2"/>
  <c r="F26" i="2"/>
  <c r="G106" i="2" l="1"/>
  <c r="G113" i="2" s="1"/>
  <c r="G132" i="2" s="1"/>
  <c r="F106" i="2"/>
  <c r="E106" i="2"/>
  <c r="D106" i="2"/>
  <c r="D29" i="2"/>
  <c r="F29" i="2" s="1"/>
  <c r="E29" i="2"/>
  <c r="G17" i="5"/>
  <c r="C17" i="5"/>
  <c r="G12" i="5"/>
  <c r="C12" i="5"/>
  <c r="G11" i="5"/>
  <c r="C11" i="5"/>
  <c r="G9" i="5"/>
  <c r="C9" i="5"/>
  <c r="G6" i="5"/>
  <c r="C6" i="5"/>
  <c r="C17" i="4"/>
  <c r="C12" i="4"/>
  <c r="C11" i="4"/>
  <c r="C9" i="4"/>
  <c r="C6" i="4"/>
  <c r="C119" i="2"/>
  <c r="C118" i="2" s="1"/>
  <c r="F112" i="2"/>
  <c r="E112" i="2"/>
  <c r="D112" i="2"/>
  <c r="C97" i="2"/>
  <c r="G97" i="2" s="1"/>
  <c r="C85" i="2"/>
  <c r="E72" i="2"/>
  <c r="D72" i="2"/>
  <c r="F72" i="2" s="1"/>
  <c r="F69" i="2"/>
  <c r="E69" i="2"/>
  <c r="D69" i="2"/>
  <c r="D68" i="2"/>
  <c r="F68" i="2" s="1"/>
  <c r="D70" i="2"/>
  <c r="C62" i="2"/>
  <c r="C48" i="2"/>
  <c r="G48" i="2" s="1"/>
  <c r="G100" i="2" s="1"/>
  <c r="C47" i="2"/>
  <c r="G47" i="2" s="1"/>
  <c r="E37" i="2"/>
  <c r="E67" i="2" s="1"/>
  <c r="F37" i="2"/>
  <c r="F67" i="2" s="1"/>
  <c r="E28" i="2"/>
  <c r="D28" i="2"/>
  <c r="F28" i="2" s="1"/>
  <c r="B6" i="1"/>
  <c r="B4" i="1"/>
  <c r="A4" i="1"/>
  <c r="G85" i="2" l="1"/>
  <c r="G90" i="2" s="1"/>
  <c r="G130" i="2" s="1"/>
  <c r="G49" i="2"/>
  <c r="C14" i="5"/>
  <c r="C20" i="5" s="1"/>
  <c r="G14" i="5"/>
  <c r="G20" i="5" s="1"/>
  <c r="C14" i="4"/>
  <c r="C20" i="4" s="1"/>
  <c r="F111" i="2"/>
  <c r="E107" i="2"/>
  <c r="F43" i="2"/>
  <c r="E43" i="2"/>
  <c r="E48" i="2" s="1"/>
  <c r="D37" i="2"/>
  <c r="F127" i="2"/>
  <c r="E111" i="2"/>
  <c r="D111" i="2"/>
  <c r="D127" i="2"/>
  <c r="E71" i="2"/>
  <c r="D71" i="2"/>
  <c r="F71" i="2" s="1"/>
  <c r="E127" i="2"/>
  <c r="F70" i="2"/>
  <c r="E70" i="2"/>
  <c r="C101" i="2"/>
  <c r="G101" i="2" s="1"/>
  <c r="C103" i="2"/>
  <c r="E68" i="2"/>
  <c r="G78" i="2" l="1"/>
  <c r="G59" i="2"/>
  <c r="G61" i="2"/>
  <c r="G57" i="2"/>
  <c r="G56" i="2"/>
  <c r="G60" i="2"/>
  <c r="G58" i="2"/>
  <c r="G55" i="2"/>
  <c r="G54" i="2"/>
  <c r="G102" i="2"/>
  <c r="G103" i="2" s="1"/>
  <c r="G131" i="2" s="1"/>
  <c r="F97" i="2"/>
  <c r="F99" i="2"/>
  <c r="F107" i="2"/>
  <c r="D107" i="2"/>
  <c r="E97" i="2"/>
  <c r="F47" i="2"/>
  <c r="F96" i="2"/>
  <c r="F95" i="2"/>
  <c r="F87" i="2"/>
  <c r="F98" i="2"/>
  <c r="F86" i="2"/>
  <c r="F100" i="2"/>
  <c r="F89" i="2"/>
  <c r="F128" i="2"/>
  <c r="F84" i="2"/>
  <c r="F48" i="2"/>
  <c r="E84" i="2"/>
  <c r="E128" i="2"/>
  <c r="E96" i="2"/>
  <c r="E95" i="2"/>
  <c r="E87" i="2"/>
  <c r="E98" i="2"/>
  <c r="E86" i="2"/>
  <c r="E100" i="2"/>
  <c r="E89" i="2"/>
  <c r="E85" i="2"/>
  <c r="E47" i="2"/>
  <c r="E49" i="2" s="1"/>
  <c r="E78" i="2" s="1"/>
  <c r="F73" i="2"/>
  <c r="F80" i="2" s="1"/>
  <c r="E88" i="2"/>
  <c r="F88" i="2"/>
  <c r="E73" i="2"/>
  <c r="E80" i="2" s="1"/>
  <c r="C90" i="2"/>
  <c r="D38" i="2"/>
  <c r="D43" i="2" s="1"/>
  <c r="D67" i="2"/>
  <c r="D73" i="2" s="1"/>
  <c r="D80" i="2" s="1"/>
  <c r="F85" i="2"/>
  <c r="D99" i="2" l="1"/>
  <c r="D85" i="2"/>
  <c r="G62" i="2"/>
  <c r="G79" i="2" s="1"/>
  <c r="G81" i="2" s="1"/>
  <c r="G129" i="2" s="1"/>
  <c r="G133" i="2" s="1"/>
  <c r="F49" i="2"/>
  <c r="E60" i="2"/>
  <c r="E57" i="2"/>
  <c r="D100" i="2"/>
  <c r="D89" i="2"/>
  <c r="D84" i="2"/>
  <c r="D128" i="2"/>
  <c r="D96" i="2"/>
  <c r="D95" i="2"/>
  <c r="D87" i="2"/>
  <c r="D47" i="2"/>
  <c r="D86" i="2"/>
  <c r="D98" i="2"/>
  <c r="D48" i="2"/>
  <c r="D97" i="2"/>
  <c r="D88" i="2"/>
  <c r="E58" i="2"/>
  <c r="E61" i="2"/>
  <c r="F90" i="2"/>
  <c r="F130" i="2" s="1"/>
  <c r="E59" i="2"/>
  <c r="E54" i="2"/>
  <c r="E90" i="2"/>
  <c r="E130" i="2" s="1"/>
  <c r="E55" i="2"/>
  <c r="E56" i="2"/>
  <c r="G116" i="2" l="1"/>
  <c r="G120" i="2" s="1"/>
  <c r="F55" i="2"/>
  <c r="F54" i="2"/>
  <c r="F58" i="2"/>
  <c r="F56" i="2"/>
  <c r="E99" i="2"/>
  <c r="F101" i="2" s="1"/>
  <c r="F102" i="2" s="1"/>
  <c r="F103" i="2" s="1"/>
  <c r="F131" i="2" s="1"/>
  <c r="F61" i="2"/>
  <c r="F59" i="2"/>
  <c r="F78" i="2"/>
  <c r="F57" i="2"/>
  <c r="F60" i="2"/>
  <c r="E62" i="2"/>
  <c r="E79" i="2" s="1"/>
  <c r="E81" i="2" s="1"/>
  <c r="E129" i="2" s="1"/>
  <c r="D49" i="2"/>
  <c r="D90" i="2"/>
  <c r="D130" i="2" s="1"/>
  <c r="G117" i="2" l="1"/>
  <c r="G121" i="2" s="1"/>
  <c r="D101" i="2"/>
  <c r="D102" i="2" s="1"/>
  <c r="D103" i="2" s="1"/>
  <c r="D131" i="2" s="1"/>
  <c r="E101" i="2"/>
  <c r="E102" i="2" s="1"/>
  <c r="E103" i="2" s="1"/>
  <c r="E131" i="2" s="1"/>
  <c r="F62" i="2"/>
  <c r="F79" i="2" s="1"/>
  <c r="F81" i="2" s="1"/>
  <c r="F129" i="2" s="1"/>
  <c r="D78" i="2"/>
  <c r="D60" i="2"/>
  <c r="D56" i="2"/>
  <c r="D55" i="2"/>
  <c r="D54" i="2"/>
  <c r="D57" i="2"/>
  <c r="D59" i="2"/>
  <c r="D61" i="2"/>
  <c r="D58" i="2"/>
  <c r="G122" i="2" l="1"/>
  <c r="D62" i="2"/>
  <c r="D79" i="2" s="1"/>
  <c r="D81" i="2" s="1"/>
  <c r="D129" i="2" s="1"/>
  <c r="C113" i="2" l="1"/>
  <c r="E113" i="2"/>
  <c r="E132" i="2" s="1"/>
  <c r="E133" i="2" s="1"/>
  <c r="F113" i="2"/>
  <c r="F132" i="2" s="1"/>
  <c r="F133" i="2" s="1"/>
  <c r="E116" i="2" l="1"/>
  <c r="F116" i="2"/>
  <c r="F117" i="2" s="1"/>
  <c r="F120" i="2" s="1"/>
  <c r="F122" i="2" l="1"/>
  <c r="F121" i="2"/>
  <c r="E117" i="2"/>
  <c r="E121" i="2" s="1"/>
  <c r="E122" i="2" l="1"/>
  <c r="E120" i="2"/>
  <c r="F123" i="2"/>
  <c r="F134" i="2" s="1"/>
  <c r="F135" i="2" s="1"/>
  <c r="F137" i="2" l="1"/>
  <c r="C6" i="1"/>
  <c r="E123" i="2"/>
  <c r="E134" i="2" s="1"/>
  <c r="E135" i="2" s="1"/>
  <c r="D6" i="1" l="1"/>
  <c r="C4" i="1"/>
  <c r="D4" i="1" s="1"/>
  <c r="E137" i="2"/>
  <c r="G123" i="2" l="1"/>
  <c r="G134" i="2" s="1"/>
  <c r="G135" i="2" s="1"/>
  <c r="D113" i="2"/>
  <c r="D132" i="2" s="1"/>
  <c r="D133" i="2" s="1"/>
  <c r="G137" i="2" l="1"/>
  <c r="C4" i="8"/>
  <c r="D4" i="8" s="1"/>
  <c r="D9" i="8" s="1"/>
  <c r="D116" i="2"/>
  <c r="D117" i="2" s="1"/>
  <c r="D120" i="2" s="1"/>
  <c r="D5" i="8" l="1"/>
  <c r="C14" i="8" s="1"/>
  <c r="D122" i="2"/>
  <c r="D121" i="2"/>
  <c r="D10" i="8" l="1"/>
  <c r="C15" i="8" s="1"/>
  <c r="D123" i="2"/>
  <c r="D134" i="2" s="1"/>
  <c r="D135" i="2" s="1"/>
  <c r="C16" i="8" l="1"/>
  <c r="E15" i="8" s="1"/>
  <c r="D137" i="2"/>
  <c r="I135" i="2"/>
  <c r="C5" i="1"/>
  <c r="D5" i="1" s="1"/>
  <c r="C19" i="8" l="1"/>
  <c r="E14" i="8"/>
  <c r="E9" i="8"/>
  <c r="D7" i="1"/>
  <c r="D11" i="1" s="1"/>
  <c r="C20" i="8" l="1"/>
  <c r="D19" i="8"/>
  <c r="D20" i="8" s="1"/>
  <c r="C16" i="1"/>
  <c r="D12" i="1" l="1"/>
  <c r="C17" i="1" s="1"/>
  <c r="C18" i="1" s="1"/>
  <c r="C21" i="1" s="1"/>
  <c r="E17" i="1" l="1"/>
  <c r="E5" i="1"/>
  <c r="E11" i="1"/>
  <c r="E16" i="1"/>
  <c r="E4" i="1"/>
  <c r="E6" i="1"/>
  <c r="C22" i="1" l="1"/>
  <c r="D21" i="1"/>
  <c r="D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tc={1E0303CE-2E58-4B5D-9CCE-9CCD4E94902C}</author>
    <author/>
  </authors>
  <commentList>
    <comment ref="A8" authorId="0" shapeId="0" xr:uid="{1E0303CE-2E58-4B5D-9CCE-9CCD4E94902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MATERIAIS DE CONSUMO E FERRAMENTAS JÁ ESTA NOS CUSTOS NAS PLANILHAS</t>
      </text>
    </comment>
    <comment ref="A11" authorId="1" shapeId="0" xr:uid="{00000000-0006-0000-0000-000004000000}">
      <text>
        <r>
          <rPr>
            <sz val="11"/>
            <color rgb="FF000000"/>
            <rFont val="Arial1"/>
            <charset val="1"/>
          </rPr>
          <t>Considerado 35% dos custos fixos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tc={592F5C9A-6C54-4118-B331-E8BCEE65604F}</author>
    <author/>
  </authors>
  <commentList>
    <comment ref="A6" authorId="0" shapeId="0" xr:uid="{592F5C9A-6C54-4118-B331-E8BCEE65604F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Verificar se precisa</t>
      </text>
    </comment>
    <comment ref="A9" authorId="1" shapeId="0" xr:uid="{14F95472-29D6-4FEE-87EE-ACC803AD1B8F}">
      <text>
        <r>
          <rPr>
            <sz val="11"/>
            <color rgb="FF000000"/>
            <rFont val="Arial1"/>
            <charset val="1"/>
          </rPr>
          <t>Considerado 35% dos custos fixos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tc={A0D11FD7-7EBA-4527-838C-034ECDF03632}</author>
    <author/>
    <author>tc={1D79A8BE-0E7C-4C0B-9FC5-D34686373780}</author>
  </authors>
  <commentList>
    <comment ref="J16" authorId="0" shapeId="0" xr:uid="{A0D11FD7-7EBA-4527-838C-034ECDF0363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5-10 dias</t>
      </text>
    </comment>
    <comment ref="B38" authorId="1" shapeId="0" xr:uid="{00000000-0006-0000-0100-000003000000}">
      <text>
        <r>
          <rPr>
            <sz val="10"/>
            <color rgb="FF000000"/>
            <rFont val="Arial"/>
            <family val="2"/>
            <charset val="1"/>
          </rPr>
          <t>Conforme item 8.7 do laudo (subitem 1)</t>
        </r>
      </text>
    </comment>
    <comment ref="B39" authorId="1" shapeId="0" xr:uid="{00000000-0006-0000-0100-000004000000}">
      <text>
        <r>
          <rPr>
            <sz val="10"/>
            <color rgb="FF000000"/>
            <rFont val="Arial"/>
            <family val="2"/>
            <charset val="1"/>
          </rPr>
          <t>Decreto 9.661, de 1º de janeiro de 2019.</t>
        </r>
      </text>
    </comment>
    <comment ref="B54" authorId="1" shapeId="0" xr:uid="{00000000-0006-0000-0100-000005000000}">
      <text>
        <r>
          <rPr>
            <b/>
            <sz val="10"/>
            <color rgb="FF000000"/>
            <rFont val="Arial1"/>
            <family val="2"/>
            <charset val="1"/>
          </rPr>
          <t xml:space="preserve">Fundamento :
</t>
        </r>
        <r>
          <rPr>
            <sz val="10"/>
            <color rgb="FF000000"/>
            <rFont val="Arial1"/>
            <family val="2"/>
            <charset val="1"/>
          </rPr>
          <t>Art. 22, inciso I da Lei nº 8.212/91</t>
        </r>
      </text>
    </comment>
    <comment ref="B55" authorId="1" shapeId="0" xr:uid="{00000000-0006-0000-0100-000006000000}">
      <text>
        <r>
          <rPr>
            <b/>
            <sz val="10"/>
            <color rgb="FF000000"/>
            <rFont val="Arial1"/>
            <family val="2"/>
            <charset val="1"/>
          </rPr>
          <t xml:space="preserve"> Fundamento: </t>
        </r>
        <r>
          <rPr>
            <sz val="10"/>
            <color rgb="FF000000"/>
            <rFont val="Arial1"/>
            <family val="2"/>
            <charset val="1"/>
          </rPr>
          <t>Art. 3º inciso I do Decreto nº 87.043/82</t>
        </r>
      </text>
    </comment>
    <comment ref="B56" authorId="1" shapeId="0" xr:uid="{00000000-0006-0000-0100-000007000000}">
      <text>
        <r>
          <rPr>
            <b/>
            <sz val="10"/>
            <color rgb="FF000000"/>
            <rFont val="Arial1"/>
            <family val="2"/>
            <charset val="1"/>
          </rPr>
          <t xml:space="preserve">Fundamento : </t>
        </r>
        <r>
          <rPr>
            <sz val="10"/>
            <color rgb="FF000000"/>
            <rFont val="Arial1"/>
            <family val="2"/>
            <charset val="1"/>
          </rPr>
          <t>Anexo V do Decreto 6.042/07. Deve ser considerada a atividade preponderante da empresa.</t>
        </r>
      </text>
    </comment>
    <comment ref="B57" authorId="1" shapeId="0" xr:uid="{00000000-0006-0000-0100-000008000000}">
      <text>
        <r>
          <rPr>
            <b/>
            <sz val="10"/>
            <color rgb="FF000000"/>
            <rFont val="Arial1"/>
            <family val="2"/>
            <charset val="1"/>
          </rPr>
          <t xml:space="preserve"> Fundamento:
</t>
        </r>
        <r>
          <rPr>
            <sz val="10"/>
            <color rgb="FF000000"/>
            <rFont val="Arial1"/>
            <family val="2"/>
            <charset val="1"/>
          </rPr>
          <t>Art. 3º da Lei nº 8.036/90</t>
        </r>
      </text>
    </comment>
    <comment ref="B58" authorId="1" shapeId="0" xr:uid="{00000000-0006-0000-0100-000009000000}">
      <text>
        <r>
          <rPr>
            <b/>
            <sz val="10"/>
            <color rgb="FF000000"/>
            <rFont val="Arial1"/>
            <family val="2"/>
            <charset val="1"/>
          </rPr>
          <t xml:space="preserve">Fundamento:
</t>
        </r>
        <r>
          <rPr>
            <sz val="10"/>
            <color rgb="FF000000"/>
            <rFont val="Arial1"/>
            <family val="2"/>
            <charset val="1"/>
          </rPr>
          <t>Decreto nº 2.318/86</t>
        </r>
      </text>
    </comment>
    <comment ref="B59" authorId="1" shapeId="0" xr:uid="{00000000-0006-0000-0100-00000A000000}">
      <text>
        <r>
          <rPr>
            <b/>
            <sz val="10"/>
            <color rgb="FF000000"/>
            <rFont val="Arial1"/>
            <family val="2"/>
            <charset val="1"/>
          </rPr>
          <t xml:space="preserve">Fundamento : </t>
        </r>
        <r>
          <rPr>
            <sz val="10"/>
            <color rgb="FF000000"/>
            <rFont val="Arial1"/>
            <family val="2"/>
            <charset val="1"/>
          </rPr>
          <t>Art. 8º da Lei nº8.029/90 e Lei nº 8.154/90</t>
        </r>
      </text>
    </comment>
    <comment ref="B60" authorId="1" shapeId="0" xr:uid="{00000000-0006-0000-0100-00000B000000}">
      <text>
        <r>
          <rPr>
            <b/>
            <sz val="10"/>
            <color rgb="FF000000"/>
            <rFont val="Arial1"/>
            <family val="2"/>
            <charset val="1"/>
          </rPr>
          <t xml:space="preserve"> Fundamento:
</t>
        </r>
        <r>
          <rPr>
            <sz val="10"/>
            <color rgb="FF000000"/>
            <rFont val="Arial1"/>
            <family val="2"/>
            <charset val="1"/>
          </rPr>
          <t>Lei nº 7.787/89 e Decreto Lei nº 1.146/70</t>
        </r>
      </text>
    </comment>
    <comment ref="B61" authorId="1" shapeId="0" xr:uid="{00000000-0006-0000-0100-00000C000000}">
      <text>
        <r>
          <rPr>
            <b/>
            <sz val="10"/>
            <color rgb="FF000000"/>
            <rFont val="Arial1"/>
            <family val="2"/>
            <charset val="1"/>
          </rPr>
          <t xml:space="preserve"> Fundamento: </t>
        </r>
        <r>
          <rPr>
            <sz val="10"/>
            <color rgb="FF000000"/>
            <rFont val="Arial1"/>
            <family val="2"/>
            <charset val="1"/>
          </rPr>
          <t>Art. 15 da Lei nº 8.030 e Art 7º, inciso III da CF/88</t>
        </r>
      </text>
    </comment>
    <comment ref="C67" authorId="1" shapeId="0" xr:uid="{00000000-0006-0000-0100-00000D000000}">
      <text>
        <r>
          <rPr>
            <sz val="10"/>
            <color rgb="FF000000"/>
            <rFont val="Arial"/>
            <family val="2"/>
            <charset val="1"/>
          </rPr>
          <t>Decreto nº 30.390/2022</t>
        </r>
      </text>
    </comment>
    <comment ref="G72" authorId="2" shapeId="0" xr:uid="{1D79A8BE-0E7C-4C0B-9FC5-D3468637378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Prêmio assiduidade</t>
      </text>
    </comment>
    <comment ref="B120" authorId="1" shapeId="0" xr:uid="{00000000-0006-0000-0100-00000E000000}">
      <text>
        <r>
          <rPr>
            <sz val="10"/>
            <color rgb="FF000000"/>
            <rFont val="Arial"/>
            <family val="2"/>
            <charset val="1"/>
          </rPr>
          <t>PCFP adota % tributários Lucro Real</t>
        </r>
      </text>
    </comment>
  </commentList>
</comments>
</file>

<file path=xl/sharedStrings.xml><?xml version="1.0" encoding="utf-8"?>
<sst xmlns="http://schemas.openxmlformats.org/spreadsheetml/2006/main" count="426" uniqueCount="289">
  <si>
    <t>CUSTOS FIXOS</t>
  </si>
  <si>
    <t>CURVA ABC</t>
  </si>
  <si>
    <t>EQUIPE RESIDENTE – Profissionais</t>
  </si>
  <si>
    <t>Qtde de postos</t>
  </si>
  <si>
    <t>Valor mensal/Posto</t>
  </si>
  <si>
    <t>Subtotal</t>
  </si>
  <si>
    <t>Participação % no valor mensal do contrato</t>
  </si>
  <si>
    <t xml:space="preserve"> Valor Mensal – Custos Fixos</t>
  </si>
  <si>
    <t>CUSTOS VARIÁVEIS</t>
  </si>
  <si>
    <t>Especificação</t>
  </si>
  <si>
    <t>Valor mensal</t>
  </si>
  <si>
    <t xml:space="preserve"> Valor mensal – Custos Variáveis</t>
  </si>
  <si>
    <t>DESCRIÇÃO</t>
  </si>
  <si>
    <t>Mensal</t>
  </si>
  <si>
    <t>Custos Variáveis</t>
  </si>
  <si>
    <t>VALOR GLOBAL</t>
  </si>
  <si>
    <t>INSUMOS DIVERSOS</t>
  </si>
  <si>
    <t>UNIFORMES e EPI`s</t>
  </si>
  <si>
    <t>VALOR UNITÁRIO</t>
  </si>
  <si>
    <t>Custo mensal</t>
  </si>
  <si>
    <t>02 (duas) Calça de Brim Operacional</t>
  </si>
  <si>
    <t>02 (duas) Camiseta branca 100% algodão</t>
  </si>
  <si>
    <t>Crachá, em PVC</t>
  </si>
  <si>
    <t>Data de apresentação da proposta (dia/mês/ano)</t>
  </si>
  <si>
    <t>Jaqueta de frio</t>
  </si>
  <si>
    <t>Ano do Acordo, Convenção ou Dissídio Coletivo</t>
  </si>
  <si>
    <t>Par de meia (kit 3 pares)</t>
  </si>
  <si>
    <t>Botina com biqueira de polipropileno, com solado todo em borracha e sem presença de componentes metálicos</t>
  </si>
  <si>
    <t>IDENTIFICAÇÃO DO SERVIÇO</t>
  </si>
  <si>
    <t>Capacete de segurança – Classe B</t>
  </si>
  <si>
    <t>EQUIPE RESIDENTE</t>
  </si>
  <si>
    <t>Capacete de segurança, com forro de borracha</t>
  </si>
  <si>
    <t>Postos de trabalho</t>
  </si>
  <si>
    <t>Quantidade</t>
  </si>
  <si>
    <t>Categoria de referência (CCT e CBO)</t>
  </si>
  <si>
    <t>Cinto de segurança tipo paraquedisa com talabarte em `Y` e trava quedas</t>
  </si>
  <si>
    <t>Oficial de Manutenção – FOZ</t>
  </si>
  <si>
    <t>Luva de PVC cano alto</t>
  </si>
  <si>
    <t>TOTAL DE POSTOS</t>
  </si>
  <si>
    <t>Protetor auricular tipo plug de silicone – kit com 50 unid</t>
  </si>
  <si>
    <t>Kit pimeiros socorros</t>
  </si>
  <si>
    <t>Mão de obra vinculada à execução contratual</t>
  </si>
  <si>
    <t>VALOR MENSAL DOS UNIFORMES e EPI's</t>
  </si>
  <si>
    <t>Dados para composição dos custos referente à mão de obra</t>
  </si>
  <si>
    <t>Tipo de serviço</t>
  </si>
  <si>
    <t>Classificação Brasileira de Ocupações (CBO)</t>
  </si>
  <si>
    <t>9511-05</t>
  </si>
  <si>
    <t>Horas semanais</t>
  </si>
  <si>
    <t>Horas mensais</t>
  </si>
  <si>
    <t>Piso salarial (Valores/hora)</t>
  </si>
  <si>
    <t>Salário Normativo da Categoria Profissional</t>
  </si>
  <si>
    <t>mensal</t>
  </si>
  <si>
    <t>Data base da categoria (dia/mês/ano)</t>
  </si>
  <si>
    <t>Posto</t>
  </si>
  <si>
    <t>Alicate de bico chato com cabo isolado 6”</t>
  </si>
  <si>
    <t>Módulo 1: Composição da remuneração</t>
  </si>
  <si>
    <t>Alicate de bomba d'agua</t>
  </si>
  <si>
    <t>Composição da remuneração</t>
  </si>
  <si>
    <t>Valor (R$)</t>
  </si>
  <si>
    <t>Alicate de corte diagonal com cabo isolado 6”</t>
  </si>
  <si>
    <t>A</t>
  </si>
  <si>
    <t>Salário base</t>
  </si>
  <si>
    <t>B</t>
  </si>
  <si>
    <t>Adicional de Periculosidade</t>
  </si>
  <si>
    <t>C</t>
  </si>
  <si>
    <t>Adicional de insalubridade</t>
  </si>
  <si>
    <t>Alicates de pressão 10”</t>
  </si>
  <si>
    <t>D</t>
  </si>
  <si>
    <t>Outros Adicionais (de Supervisão)</t>
  </si>
  <si>
    <t>Amperímetro digital do tipo alicate</t>
  </si>
  <si>
    <t>E</t>
  </si>
  <si>
    <t>Outros (especificar)</t>
  </si>
  <si>
    <t>Aspirador de pó</t>
  </si>
  <si>
    <r>
      <rPr>
        <b/>
        <sz val="10"/>
        <color rgb="FF000000"/>
        <rFont val="Calibri"/>
        <family val="2"/>
        <charset val="1"/>
      </rPr>
      <t>Nota 1:</t>
    </r>
    <r>
      <rPr>
        <sz val="10"/>
        <color rgb="FF000000"/>
        <rFont val="Arial1"/>
        <charset val="1"/>
      </rPr>
      <t xml:space="preserve"> O Módulo 1 refere-se ao valor mensal devido ao empregado pela prestação do serviço no período de 12 meses.</t>
    </r>
  </si>
  <si>
    <t>Módulo 2: Encargos e benefícios anuais, mensais e diários</t>
  </si>
  <si>
    <t>2.1 - 13º (décimo terceiro) Salário, Férias e Adicional de Férias</t>
  </si>
  <si>
    <t>13º (décimo terceiro) salário</t>
  </si>
  <si>
    <t>Adicional de Férias</t>
  </si>
  <si>
    <t>Total</t>
  </si>
  <si>
    <r>
      <rPr>
        <b/>
        <sz val="9"/>
        <color rgb="FF000000"/>
        <rFont val="Calibri"/>
        <family val="2"/>
        <charset val="1"/>
      </rPr>
      <t xml:space="preserve">Nota 1: </t>
    </r>
    <r>
      <rPr>
        <sz val="9"/>
        <color rgb="FF000000"/>
        <rFont val="Arial1"/>
        <charset val="1"/>
      </rPr>
      <t>Como a planilha de custos e formação de preços é calculada mensalmente, provisiona-se proporcionalmente 1/12 (um doze avos) dos valores referentes a gratificação natalina e adicional de férias.</t>
    </r>
  </si>
  <si>
    <t>Cones  para sinalização PS 70cm Laranja refletivo</t>
  </si>
  <si>
    <r>
      <rPr>
        <b/>
        <sz val="9"/>
        <color rgb="FF000000"/>
        <rFont val="Calibri"/>
        <family val="2"/>
        <charset val="1"/>
      </rPr>
      <t xml:space="preserve">Nota 2: </t>
    </r>
    <r>
      <rPr>
        <sz val="9"/>
        <color rgb="FF000000"/>
        <rFont val="Arial1"/>
        <charset val="1"/>
      </rPr>
      <t>O adicional de férias contido no Submódulo 2.1 corresponde a 1/3 (um terço) da remuneração que por sua vez é divido por 12 (doze) conforme Nota 1 acima.</t>
    </r>
  </si>
  <si>
    <t>2.2 - Encargos Previdenciários (GPS), Fundo de Garantia por Tempo de Serviço (FGTS) e outras contribuições</t>
  </si>
  <si>
    <t>INSS</t>
  </si>
  <si>
    <t>Escada Dupla Extensível De Madeira 2,00 X 3,30m</t>
  </si>
  <si>
    <t>Salário educação</t>
  </si>
  <si>
    <t>Escada Telescópica Alumínio 4,4 M 15 Degraus</t>
  </si>
  <si>
    <t>Seguro acidente do trabalho (SAT)</t>
  </si>
  <si>
    <t>SESI ou SESC</t>
  </si>
  <si>
    <t>SENAI ou SENAC</t>
  </si>
  <si>
    <t>F</t>
  </si>
  <si>
    <t>SEBRAE</t>
  </si>
  <si>
    <t>Ferro de soldar 127 v/40w</t>
  </si>
  <si>
    <t>G</t>
  </si>
  <si>
    <t>INCRA</t>
  </si>
  <si>
    <t>Furadeira de Impacto,profissional, com jogo de brocas completo</t>
  </si>
  <si>
    <t>H</t>
  </si>
  <si>
    <t>FGTS</t>
  </si>
  <si>
    <t>Jogo De Brocas Aço Rápido 1/16 A 1/2 29 Peças</t>
  </si>
  <si>
    <t>Jogo de Brocas de vídea de 3,5 mm a 10 mm aço e madeira</t>
  </si>
  <si>
    <r>
      <rPr>
        <b/>
        <sz val="9"/>
        <color rgb="FF000000"/>
        <rFont val="Calibri"/>
        <family val="2"/>
        <charset val="1"/>
      </rPr>
      <t xml:space="preserve">Nota 1: </t>
    </r>
    <r>
      <rPr>
        <sz val="9"/>
        <color rgb="FF000000"/>
        <rFont val="Arial1"/>
        <charset val="1"/>
      </rPr>
      <t>Os percentuais dos encargos previdenciários, do FGTS e demais contribuições são aqueles estabelecidos pela legislação vigente.</t>
    </r>
  </si>
  <si>
    <t>Jogo de chaves "ALLEN" completo – 30 peças</t>
  </si>
  <si>
    <r>
      <rPr>
        <b/>
        <sz val="9"/>
        <color rgb="FF000000"/>
        <rFont val="Calibri"/>
        <family val="2"/>
        <charset val="1"/>
      </rPr>
      <t xml:space="preserve">Nota 2: </t>
    </r>
    <r>
      <rPr>
        <sz val="9"/>
        <color rgb="FF000000"/>
        <rFont val="Arial1"/>
        <charset val="1"/>
      </rPr>
      <t>O SAT a depender do grau de risco do serviço irá variar entre 1%, para risco leve, de 2%, para risco médio, e de 3% de risco grave.</t>
    </r>
  </si>
  <si>
    <r>
      <rPr>
        <b/>
        <sz val="9"/>
        <color rgb="FF000000"/>
        <rFont val="Calibri"/>
        <family val="2"/>
        <charset val="1"/>
      </rPr>
      <t xml:space="preserve">Nota 3: </t>
    </r>
    <r>
      <rPr>
        <sz val="9"/>
        <color rgb="FF000000"/>
        <rFont val="Arial1"/>
        <charset val="1"/>
      </rPr>
      <t>Esses percentuais incidem sobre o Módulo 1, o Submódulo 2.1.</t>
    </r>
  </si>
  <si>
    <t>Jogo de chaves "PHILIPS" e “FENDA” completo 20 peças</t>
  </si>
  <si>
    <t>Submódulo 2.3 - Benefícios Mensais e Diários.</t>
  </si>
  <si>
    <t>Jogo de chaves de “BOCA” completo (polegada)</t>
  </si>
  <si>
    <t>A.1</t>
  </si>
  <si>
    <t>Transporte Foz do Iguaçu</t>
  </si>
  <si>
    <t>Jogo de chaves de “FENDA” completo</t>
  </si>
  <si>
    <t>Seguro de vida, invalidez e funeral</t>
  </si>
  <si>
    <t>Abono Natalino</t>
  </si>
  <si>
    <t>Café da Manhã</t>
  </si>
  <si>
    <t>Martelo de 25 mm.</t>
  </si>
  <si>
    <t>Martelo de Borracha 60 mm.</t>
  </si>
  <si>
    <r>
      <rPr>
        <b/>
        <sz val="9"/>
        <color rgb="FF000000"/>
        <rFont val="Calibri"/>
        <family val="2"/>
        <charset val="1"/>
      </rPr>
      <t xml:space="preserve">Nota 1: </t>
    </r>
    <r>
      <rPr>
        <sz val="9"/>
        <color rgb="FF000000"/>
        <rFont val="Arial1"/>
        <charset val="1"/>
      </rPr>
      <t>O valor informado deverá ser o custo real do benefício (descontado o valor eventualmente pago pelo empregado).</t>
    </r>
  </si>
  <si>
    <t>Multiteste (multímetro digital)</t>
  </si>
  <si>
    <r>
      <rPr>
        <b/>
        <sz val="9"/>
        <color rgb="FF000000"/>
        <rFont val="Calibri"/>
        <family val="2"/>
        <charset val="1"/>
      </rPr>
      <t xml:space="preserve">Nota 2: </t>
    </r>
    <r>
      <rPr>
        <sz val="9"/>
        <color rgb="FF000000"/>
        <rFont val="Arial1"/>
        <charset val="1"/>
      </rPr>
      <t>Observar a previsão dos benefícios contidos em Acordos, Convenções e Dissídios Coletivos de Trabalho e atentar-se ao disposto no art. 6º desta Instrução Normativa.</t>
    </r>
  </si>
  <si>
    <t>Quadro-Resumo do Módulo 2 - Encargos e Benefícios anuais, mensais e diários</t>
  </si>
  <si>
    <t>2: Encargos e benefícios anuais, mensais e diários</t>
  </si>
  <si>
    <t>Parafusadeira Portátil</t>
  </si>
  <si>
    <t>2.2 - Encargos Previdenciários (GPS), (FGTS) e outras contribuições.</t>
  </si>
  <si>
    <t>Módulo 3 - Provisão para Rescisão</t>
  </si>
  <si>
    <t>Aviso prévio indenizado</t>
  </si>
  <si>
    <t>Rebitadeira</t>
  </si>
  <si>
    <t>Incidência do FGTS sobre Aviso Prévio Indenizado</t>
  </si>
  <si>
    <t>Multa do FGTS e contribuição social sobre o Aviso Prévio indenizado</t>
  </si>
  <si>
    <t>Saca pinos 5 mm.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</si>
  <si>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</si>
  <si>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</si>
  <si>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</si>
  <si>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Serrote 22”</t>
  </si>
  <si>
    <t>Módulo 4 - Custo de Reposição do Profissional Ausente</t>
  </si>
  <si>
    <t>Termômetro laser digital infravermelho temperatura</t>
  </si>
  <si>
    <r>
      <rPr>
        <b/>
        <sz val="9"/>
        <color rgb="FF000000"/>
        <rFont val="Calibri"/>
        <family val="2"/>
        <charset val="1"/>
      </rPr>
      <t xml:space="preserve">Nota 1: </t>
    </r>
    <r>
      <rPr>
        <sz val="9"/>
        <color rgb="FF000000"/>
        <rFont val="Arial1"/>
        <charset val="1"/>
      </rPr>
      <t>Os itens que contemplam o módulo 4 se referem ao custo dos dias trabalhados pelo repositor/substituto, quando o empreado alocado na prestação de serviço estiver ausente, conforme as previsões estabelecidas na legislação.</t>
    </r>
  </si>
  <si>
    <t>4.1 – Substitutos nas ausências Legais</t>
  </si>
  <si>
    <t>Substituto na cobertura de Férias</t>
  </si>
  <si>
    <t>CUSTO MENSAL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</si>
  <si>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</si>
  <si>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</si>
  <si>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</si>
  <si>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</si>
  <si>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Outros</t>
  </si>
  <si>
    <t>Incidência do Submódulo 2.2 no Submódulo 4.1</t>
  </si>
  <si>
    <r>
      <rPr>
        <b/>
        <sz val="9"/>
        <color rgb="FF000000"/>
        <rFont val="Calibri"/>
        <family val="2"/>
        <charset val="1"/>
      </rPr>
      <t xml:space="preserve">Módulo 5 - Insumos Diversos </t>
    </r>
    <r>
      <rPr>
        <sz val="9"/>
        <color rgb="FF000000"/>
        <rFont val="Arial1"/>
        <charset val="1"/>
      </rPr>
      <t>(custo estimado por posto)</t>
    </r>
  </si>
  <si>
    <t>Uniformes e EPI</t>
  </si>
  <si>
    <t>Ferramentas/Equipamentos/Aparelhos</t>
  </si>
  <si>
    <t>Materiais de consumo</t>
  </si>
  <si>
    <t>Garantia Contratual</t>
  </si>
  <si>
    <t>Nota: Valores mensais por empregado.</t>
  </si>
  <si>
    <t>Módulo 6 - Custos Indiretos, Tributos e Lucro</t>
  </si>
  <si>
    <t>Custos indiretos</t>
  </si>
  <si>
    <t>Lucro</t>
  </si>
  <si>
    <t>Tributos</t>
  </si>
  <si>
    <t>B.1. Tributos federais (especificar)</t>
  </si>
  <si>
    <t>PIS</t>
  </si>
  <si>
    <t>COFINS</t>
  </si>
  <si>
    <t>Nota 1: Custos Indiretos, Tributos e Lucro por empregado.</t>
  </si>
  <si>
    <t>QUADRO-RESUMO DO CUSTO POR EMPREGADO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</si>
  <si>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</si>
  <si>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</si>
  <si>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</si>
  <si>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</si>
  <si>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</si>
  <si>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</si>
  <si>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</si>
  <si>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</si>
  <si>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</si>
  <si>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Valor hora trabalhada</t>
  </si>
  <si>
    <t>Foz do Iguaçu</t>
  </si>
  <si>
    <t>Preço médio</t>
  </si>
  <si>
    <t>Quant. mensal</t>
  </si>
  <si>
    <t>Software</t>
  </si>
  <si>
    <r>
      <rPr>
        <b/>
        <sz val="14"/>
        <color rgb="FF0000FF"/>
        <rFont val="Arial1"/>
        <charset val="1"/>
      </rPr>
      <t>LDI</t>
    </r>
    <r>
      <rPr>
        <b/>
        <sz val="14"/>
        <color rgb="FF000000"/>
        <rFont val="Calibri"/>
        <family val="2"/>
        <charset val="1"/>
      </rPr>
      <t xml:space="preserve"> – FORNECIMENTO DE </t>
    </r>
    <r>
      <rPr>
        <b/>
        <sz val="14"/>
        <color rgb="FFCE181E"/>
        <rFont val="Arial1"/>
        <charset val="1"/>
      </rPr>
      <t>MATERIAIS e PEÇAS</t>
    </r>
  </si>
  <si>
    <r>
      <rPr>
        <b/>
        <sz val="14"/>
        <color rgb="FF0000FF"/>
        <rFont val="Arial1"/>
        <charset val="1"/>
      </rPr>
      <t>LDI</t>
    </r>
    <r>
      <rPr>
        <b/>
        <sz val="14"/>
        <color rgb="FF000000"/>
        <rFont val="Calibri"/>
        <family val="2"/>
        <charset val="1"/>
      </rPr>
      <t xml:space="preserve"> – PRESTAÇÃO DE </t>
    </r>
    <r>
      <rPr>
        <b/>
        <sz val="14"/>
        <color rgb="FF0000FF"/>
        <rFont val="Arial1"/>
        <charset val="1"/>
      </rPr>
      <t>SERVIÇOS EVENTUAIS</t>
    </r>
  </si>
  <si>
    <t>Grupo</t>
  </si>
  <si>
    <t>Despesas indiretas (1)</t>
  </si>
  <si>
    <t>Despesas indiretas</t>
  </si>
  <si>
    <t>AC</t>
  </si>
  <si>
    <t>Administração central</t>
  </si>
  <si>
    <t>S + G</t>
  </si>
  <si>
    <t>Seguro + Garantia</t>
  </si>
  <si>
    <t>R</t>
  </si>
  <si>
    <t>Riscos e imprevistos</t>
  </si>
  <si>
    <t>Total do grupo A</t>
  </si>
  <si>
    <t>Bonificação</t>
  </si>
  <si>
    <t>L</t>
  </si>
  <si>
    <t>Total do grupo B</t>
  </si>
  <si>
    <t>I</t>
  </si>
  <si>
    <t>Impostos</t>
  </si>
  <si>
    <t>ISSQN</t>
  </si>
  <si>
    <t>Total do grupo C</t>
  </si>
  <si>
    <t>Despesas Financeiras</t>
  </si>
  <si>
    <t>DF</t>
  </si>
  <si>
    <t>Total do grupo D</t>
  </si>
  <si>
    <t>Fórmula para o cálculo do L.D.I. ( Lucro e despesas indiretas )</t>
  </si>
  <si>
    <t>OBS: Valor parâmetro indicado no Acórdão nº 2622/2013 – TCU – Plenário, para itens de mero fornecimento de materiais e equipamentos</t>
  </si>
  <si>
    <t>OBS: Valor parâmetro indicado no Acórdão nº 2622/2013 – TCU – Plenário</t>
  </si>
  <si>
    <t>ISSQN - CVL</t>
  </si>
  <si>
    <t>Software (de gerenciamento e controle dos serviços)</t>
  </si>
  <si>
    <r>
      <t xml:space="preserve">Nota 2: </t>
    </r>
    <r>
      <rPr>
        <sz val="10"/>
        <color rgb="FF000000"/>
        <rFont val="Arial1"/>
        <charset val="1"/>
      </rPr>
      <t>O valor referente a tributos é obtido aplicando-se o percentual sobre o valor do faturamento.</t>
    </r>
  </si>
  <si>
    <t>UNIDADE</t>
  </si>
  <si>
    <t>MESES</t>
  </si>
  <si>
    <t xml:space="preserve">VALOR MENSAL </t>
  </si>
  <si>
    <t>TOTAL POR UNIDADE (R$)</t>
  </si>
  <si>
    <t xml:space="preserve">TOTAL DO ITEM </t>
  </si>
  <si>
    <t>Custos Fixos – Equipe Residente</t>
  </si>
  <si>
    <r>
      <t>PREGÃO SRRFNº</t>
    </r>
    <r>
      <rPr>
        <sz val="9"/>
        <color rgb="FFFF0000"/>
        <rFont val="Arial1"/>
        <charset val="1"/>
      </rPr>
      <t xml:space="preserve"> XX</t>
    </r>
    <r>
      <rPr>
        <sz val="9"/>
        <color rgb="FF000000"/>
        <rFont val="Calibri"/>
        <family val="2"/>
        <charset val="1"/>
      </rPr>
      <t>/2023</t>
    </r>
  </si>
  <si>
    <t xml:space="preserve"> 5143-10</t>
  </si>
  <si>
    <t>3132-15</t>
  </si>
  <si>
    <t>Tecnico eletrônico - Foz</t>
  </si>
  <si>
    <t>Oficial / CBO 3132-15</t>
  </si>
  <si>
    <t>óculos de segurança</t>
  </si>
  <si>
    <t>Alicate universal isolado 8”</t>
  </si>
  <si>
    <t>Canivete para eletricista</t>
  </si>
  <si>
    <t>Estilete de corte</t>
  </si>
  <si>
    <t>Lanterna</t>
  </si>
  <si>
    <t xml:space="preserve">Lima chata murça 4" </t>
  </si>
  <si>
    <t>Pinça U para extração de CI</t>
  </si>
  <si>
    <t>Pincel para limpeza</t>
  </si>
  <si>
    <t>Pulseira anti-estática</t>
  </si>
  <si>
    <t>Sugador de solda</t>
  </si>
  <si>
    <t>Trena 5m</t>
  </si>
  <si>
    <t>Assinatura básica + treinamento online</t>
  </si>
  <si>
    <t>Valor do prêmio (Cobertura de 12 meses de contrato + 3 meses adicionais)</t>
  </si>
  <si>
    <t>Custo anual</t>
  </si>
  <si>
    <t>Quant. por empregado</t>
  </si>
  <si>
    <t>Auxiliar Produção/ CBO 5143-10</t>
  </si>
  <si>
    <t>Oficial/ CBO 9511-05</t>
  </si>
  <si>
    <t>Alicate de crimpar – para cabos CAT 6A</t>
  </si>
  <si>
    <t>Alicate desencapador de fio – profissional</t>
  </si>
  <si>
    <t>Chave ajustável (12 polegadas)</t>
  </si>
  <si>
    <t>Chave ajustável (18 polegadas)</t>
  </si>
  <si>
    <t>Escova de aço carbono 5 fileiras com cabo</t>
  </si>
  <si>
    <t>Jogo de chaves "BOCA" completo 12 peças – 6 a 32 mm</t>
  </si>
  <si>
    <t>Jogo de chaves de precisão 6 peças</t>
  </si>
  <si>
    <t>Jogo de chaves de Torx com 8 peças (T6, T7, T8, T9, T10, T15, T20, T25)</t>
  </si>
  <si>
    <t>Ferramentas</t>
  </si>
  <si>
    <t>valor médio</t>
  </si>
  <si>
    <t>amortização (60 meses)</t>
  </si>
  <si>
    <t>arruela de pressão em aço inox  M8</t>
  </si>
  <si>
    <t>barra roscada ¼ galvanizada </t>
  </si>
  <si>
    <t>cabo PP 3x2,5mm (rolo 100m)</t>
  </si>
  <si>
    <t>conector RJ45 macho  (pacote com 100 un.)</t>
  </si>
  <si>
    <t>fibra ótica (rolo 500 m)</t>
  </si>
  <si>
    <t>fita isolante autofusão 19mm x 10m </t>
  </si>
  <si>
    <t>fita isolante comum preta 19 mm x 10m </t>
  </si>
  <si>
    <t>Fita zebrada- 100m</t>
  </si>
  <si>
    <t>plugue de tomada (macho e fêmea) </t>
  </si>
  <si>
    <t xml:space="preserve">porca auto travante 1/4 </t>
  </si>
  <si>
    <t>régua elétrica com 3 tomadas 10A ou 20A</t>
  </si>
  <si>
    <t>rolo de cabo de rede outdoor (capa resistente a sol e chuva) CAT5e sem blindagem (caixa 305m)</t>
  </si>
  <si>
    <t>rolo de fita (cinta)3/4 inox 25m para poste </t>
  </si>
  <si>
    <t>Quant. Anual</t>
  </si>
  <si>
    <t>total mensal</t>
  </si>
  <si>
    <t>Eletricista Predial-Foz</t>
  </si>
  <si>
    <t>FOZ DO IGUAÇU E DIONÍSIO CERQUEIRA - PLANILHA DE CUSTOS E FORMAÇÃO DE PREÇOS</t>
  </si>
  <si>
    <t xml:space="preserve">FOZ- SINDUSCON OESTE </t>
  </si>
  <si>
    <t>DIONÍSIO CERQUEIRA</t>
  </si>
  <si>
    <t>FOZ DO IGUAÇU</t>
  </si>
  <si>
    <t>DCA- SIND DAS EMPRESAS DE ASSEIO CONS E SEV TERCER DO EST SC</t>
  </si>
  <si>
    <t>B.3. Tributos municipais – ISS FOZ e ISS DCA</t>
  </si>
  <si>
    <t>Outros (prêmio assiduidade)</t>
  </si>
  <si>
    <t>PGR, PCMSO, ASO</t>
  </si>
  <si>
    <t>qtd</t>
  </si>
  <si>
    <t>vida últi (meses)</t>
  </si>
  <si>
    <t>eletricista- foz</t>
  </si>
  <si>
    <r>
      <t>DESCONTO</t>
    </r>
    <r>
      <rPr>
        <b/>
        <sz val="10"/>
        <color rgb="FF000000"/>
        <rFont val="Arial"/>
        <family val="2"/>
        <charset val="1"/>
      </rPr>
      <t xml:space="preserve"> – sobre</t>
    </r>
    <r>
      <rPr>
        <b/>
        <sz val="10"/>
        <color rgb="FFCE181E"/>
        <rFont val="Arial1"/>
        <charset val="1"/>
      </rPr>
      <t>MATERIAIS</t>
    </r>
  </si>
  <si>
    <r>
      <t>DESCONTO</t>
    </r>
    <r>
      <rPr>
        <b/>
        <sz val="10"/>
        <color rgb="FF000000"/>
        <rFont val="Arial"/>
        <family val="2"/>
        <charset val="1"/>
      </rPr>
      <t xml:space="preserve"> – sobre </t>
    </r>
    <r>
      <rPr>
        <b/>
        <sz val="10"/>
        <color rgb="FFCE181E"/>
        <rFont val="Arial1"/>
        <charset val="1"/>
      </rPr>
      <t>MATERIAIS</t>
    </r>
  </si>
  <si>
    <t xml:space="preserve">  QUADRO RESUMO – MANUTENÇÃO DE CÂMERAS       DIONÍSIO CERQUEIRA</t>
  </si>
  <si>
    <t>QUADRO RESUMO – MANUTENÇÃO DE CÂMERAS FOZ DO IGUAÇU</t>
  </si>
  <si>
    <r>
      <t>Nº do Processo</t>
    </r>
    <r>
      <rPr>
        <sz val="9"/>
        <color rgb="FFFF0000"/>
        <rFont val="Arial1"/>
        <charset val="1"/>
      </rPr>
      <t xml:space="preserve"> 10905.720227/2023-30</t>
    </r>
  </si>
  <si>
    <r>
      <t xml:space="preserve">CUSTO MENSAL / </t>
    </r>
    <r>
      <rPr>
        <b/>
        <sz val="10"/>
        <color rgb="FF000000"/>
        <rFont val="Arial1"/>
        <charset val="1"/>
      </rPr>
      <t>Por funcionário /12 meses</t>
    </r>
  </si>
  <si>
    <r>
      <t xml:space="preserve">CUSTO MENSAL / </t>
    </r>
    <r>
      <rPr>
        <b/>
        <sz val="10"/>
        <color rgb="FF000000"/>
        <rFont val="Arial1"/>
        <charset val="1"/>
      </rPr>
      <t>Por funcionário / 12 meses</t>
    </r>
  </si>
  <si>
    <t xml:space="preserve">Valor do prêmio (Cobertura de 12 meses de contrato + 3 meses adicionais) </t>
  </si>
  <si>
    <t>Garantia Contratual Foz (5% valor contrato)</t>
  </si>
  <si>
    <t>Garantia Contratual Dionísio  (5% valor contrato)</t>
  </si>
  <si>
    <t>VALOR GLOBAL – MANUTENÇÃO CÂMERAS</t>
  </si>
  <si>
    <t>Dionísio Cerqueira</t>
  </si>
  <si>
    <t>Luva de alta tensão 2,5KV 500V CL00 CA2178</t>
  </si>
  <si>
    <t>Técnico eletrônico -DCA</t>
  </si>
  <si>
    <t>Oficial/ CBO 3132-15</t>
  </si>
  <si>
    <t>Técnico eletrônico-DCA</t>
  </si>
  <si>
    <t>Vale alimentação</t>
  </si>
  <si>
    <t>Materiais e serviços extras empregados na execução do contrato DCA</t>
  </si>
  <si>
    <t>Materiais e serviços extras empregados na execução do contrato FOZ</t>
  </si>
  <si>
    <r>
      <t xml:space="preserve">DISCRIMINAÇÃO DOS SERVIÇOS: </t>
    </r>
    <r>
      <rPr>
        <sz val="10"/>
        <color rgb="FF000000"/>
        <rFont val="Arial1"/>
        <charset val="1"/>
      </rPr>
      <t xml:space="preserve">Serviços continuados </t>
    </r>
    <r>
      <rPr>
        <b/>
        <sz val="10"/>
        <color rgb="FF000000"/>
        <rFont val="Calibri"/>
        <family val="2"/>
        <charset val="1"/>
      </rPr>
      <t xml:space="preserve">de </t>
    </r>
    <r>
      <rPr>
        <b/>
        <u/>
        <sz val="10"/>
        <color rgb="FF000000"/>
        <rFont val="Arial1"/>
        <charset val="1"/>
      </rPr>
      <t xml:space="preserve">manutenção </t>
    </r>
    <r>
      <rPr>
        <b/>
        <sz val="10"/>
        <color rgb="FF000000"/>
        <rFont val="Calibri"/>
        <family val="2"/>
        <charset val="1"/>
      </rPr>
      <t xml:space="preserve"> preventiva e corretiva de cãmeras, </t>
    </r>
    <r>
      <rPr>
        <sz val="10"/>
        <color rgb="FF000000"/>
        <rFont val="Arial1"/>
        <charset val="1"/>
      </rPr>
      <t xml:space="preserve"> incluindo o</t>
    </r>
    <r>
      <rPr>
        <b/>
        <sz val="10"/>
        <color rgb="FF000000"/>
        <rFont val="Calibri"/>
        <family val="2"/>
        <charset val="1"/>
      </rPr>
      <t xml:space="preserve"> </t>
    </r>
    <r>
      <rPr>
        <sz val="10"/>
        <color rgb="FF000000"/>
        <rFont val="Arial1"/>
        <charset val="1"/>
      </rPr>
      <t>fornecimento de peças, materiais de consumo e insumos</t>
    </r>
    <r>
      <rPr>
        <b/>
        <sz val="10"/>
        <color rgb="FF000000"/>
        <rFont val="Calibri"/>
        <family val="2"/>
        <charset val="1"/>
      </rPr>
      <t xml:space="preserve"> </t>
    </r>
    <r>
      <rPr>
        <sz val="10"/>
        <color rgb="FF000000"/>
        <rFont val="Arial1"/>
        <charset val="1"/>
      </rPr>
      <t>para todos os locais definidos no Termo de Referência (DRF/FOZ e ALF/DIO)</t>
    </r>
  </si>
  <si>
    <t>Salário mínimo nacional (01/01/2024)</t>
  </si>
  <si>
    <r>
      <t>Nota 3</t>
    </r>
    <r>
      <rPr>
        <sz val="9"/>
        <color rgb="FF000000"/>
        <rFont val="Arial1"/>
        <charset val="1"/>
      </rPr>
      <t>: Levando em consideração a vigência contratual prevista no art. 107 da lei nº 14133/21, a rubrica férias tem como objetivo principal suprir a necessidade do pagamento das férias remuneradas ao final do contrato de 12 meses. Esta rubrica, quando da prorrogação contratual, torna-se custo não renovável.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</si>
</sst>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164" formatCode="[$R$-416]\ #,##0.00;[Red]\-[$R$-416]\ #,##0.00"/>
    <numFmt numFmtId="165" formatCode="00"/>
    <numFmt numFmtId="166" formatCode="&quot; R$ &quot;#,##0.00\ ;&quot; R$ (&quot;#,##0.00\);&quot; R$ -&quot;#\ ;@\ "/>
    <numFmt numFmtId="167" formatCode="&quot;R$ &quot;#,##0.00"/>
    <numFmt numFmtId="168" formatCode="d/m/yyyy"/>
    <numFmt numFmtId="169" formatCode="[$R$-416]\ #,##0.00;[Red][$R$-416]\ #,##0.00"/>
  </numFmts>
  <fonts count="43">
    <font>
      <sz val="11"/>
      <color rgb="FF000000"/>
      <name val="Arial1"/>
      <charset val="1"/>
    </font>
    <font>
      <b/>
      <sz val="10"/>
      <color rgb="FF000000"/>
      <name val="Arial1"/>
      <charset val="1"/>
    </font>
    <font>
      <sz val="10"/>
      <color rgb="FF000000"/>
      <name val="Mangal"/>
      <family val="1"/>
      <charset val="1"/>
    </font>
    <font>
      <sz val="10"/>
      <color rgb="FF000000"/>
      <name val="Arial"/>
      <family val="2"/>
      <charset val="1"/>
    </font>
    <font>
      <sz val="11"/>
      <color rgb="FF0000FF"/>
      <name val="Calibri"/>
      <family val="2"/>
      <charset val="1"/>
    </font>
    <font>
      <sz val="9"/>
      <color rgb="FF0000FF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9"/>
      <color rgb="FF0000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rgb="FFCE181E"/>
      <name val="Arial1"/>
      <charset val="1"/>
    </font>
    <font>
      <b/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3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0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FF0000"/>
      <name val="Arial1"/>
      <charset val="1"/>
    </font>
    <font>
      <sz val="10"/>
      <color rgb="FF000000"/>
      <name val="Calibri"/>
      <family val="2"/>
      <charset val="1"/>
    </font>
    <font>
      <b/>
      <sz val="8"/>
      <color rgb="FFFFFFFF"/>
      <name val="Calibri"/>
      <family val="2"/>
      <charset val="1"/>
    </font>
    <font>
      <sz val="10"/>
      <color rgb="FF000000"/>
      <name val="Arial1"/>
      <charset val="1"/>
    </font>
    <font>
      <sz val="9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9"/>
      <color rgb="FFFFFFFF"/>
      <name val="Calibri"/>
      <family val="2"/>
      <charset val="1"/>
    </font>
    <font>
      <sz val="9"/>
      <name val="Calibri"/>
      <family val="2"/>
      <charset val="1"/>
    </font>
    <font>
      <b/>
      <sz val="10"/>
      <color rgb="FF000000"/>
      <name val="Arial1"/>
      <family val="2"/>
      <charset val="1"/>
    </font>
    <font>
      <sz val="10"/>
      <color rgb="FF000000"/>
      <name val="Arial1"/>
      <family val="2"/>
      <charset val="1"/>
    </font>
    <font>
      <b/>
      <sz val="15"/>
      <color rgb="FFFFFFFF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name val="Arial"/>
      <family val="2"/>
      <charset val="1"/>
    </font>
    <font>
      <b/>
      <sz val="12"/>
      <color rgb="FFFFFFFF"/>
      <name val="Calibri"/>
      <family val="2"/>
      <charset val="1"/>
    </font>
    <font>
      <b/>
      <sz val="14"/>
      <color rgb="FF0000FF"/>
      <name val="Arial1"/>
      <charset val="1"/>
    </font>
    <font>
      <b/>
      <sz val="14"/>
      <color rgb="FFCE181E"/>
      <name val="Arial1"/>
      <charset val="1"/>
    </font>
    <font>
      <sz val="8"/>
      <color rgb="FF0000FF"/>
      <name val="Calibri"/>
      <family val="2"/>
      <charset val="1"/>
    </font>
    <font>
      <b/>
      <u/>
      <sz val="10"/>
      <color rgb="FF000000"/>
      <name val="Arial1"/>
      <charset val="1"/>
    </font>
    <font>
      <sz val="11"/>
      <name val="Calibri"/>
      <family val="2"/>
      <charset val="1"/>
    </font>
    <font>
      <b/>
      <sz val="11"/>
      <name val="Calibri"/>
      <family val="2"/>
    </font>
    <font>
      <sz val="9"/>
      <color rgb="FF00000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rgb="FFFF99FF"/>
        <bgColor rgb="FFEC9BA4"/>
      </patternFill>
    </fill>
    <fill>
      <patternFill patternType="solid">
        <fgColor rgb="FFEC9BA4"/>
        <bgColor rgb="FFFF99FF"/>
      </patternFill>
    </fill>
    <fill>
      <patternFill patternType="solid">
        <fgColor rgb="FFFFD8CE"/>
        <bgColor rgb="FFFFCCCC"/>
      </patternFill>
    </fill>
    <fill>
      <patternFill patternType="solid">
        <fgColor rgb="FFFFFF99"/>
        <bgColor rgb="FFFBEAA6"/>
      </patternFill>
    </fill>
    <fill>
      <patternFill patternType="solid">
        <fgColor rgb="FF999999"/>
        <bgColor rgb="FFB2B2B2"/>
      </patternFill>
    </fill>
    <fill>
      <patternFill patternType="solid">
        <fgColor rgb="FFFFFFFF"/>
        <bgColor rgb="FFFFFFD7"/>
      </patternFill>
    </fill>
    <fill>
      <patternFill patternType="solid">
        <fgColor rgb="FFFDD291"/>
        <bgColor rgb="FFFCCA7F"/>
      </patternFill>
    </fill>
    <fill>
      <patternFill patternType="solid">
        <fgColor rgb="FFFBEAA6"/>
        <bgColor rgb="FFFBE4C1"/>
      </patternFill>
    </fill>
    <fill>
      <patternFill patternType="solid">
        <fgColor rgb="FF800080"/>
        <bgColor rgb="FF990099"/>
      </patternFill>
    </fill>
    <fill>
      <patternFill patternType="solid">
        <fgColor rgb="FFBAFCFC"/>
        <bgColor rgb="FFCCFFCC"/>
      </patternFill>
    </fill>
    <fill>
      <patternFill patternType="solid">
        <fgColor rgb="FFB2B2B2"/>
        <bgColor rgb="FF999999"/>
      </patternFill>
    </fill>
    <fill>
      <patternFill patternType="solid">
        <fgColor rgb="FFFCCA7F"/>
        <bgColor rgb="FFFDD291"/>
      </patternFill>
    </fill>
    <fill>
      <patternFill patternType="solid">
        <fgColor rgb="FFEEEEEE"/>
        <bgColor rgb="FFF6F9D4"/>
      </patternFill>
    </fill>
    <fill>
      <patternFill patternType="solid">
        <fgColor rgb="FFFBE4C1"/>
        <bgColor rgb="FFFBEAA6"/>
      </patternFill>
    </fill>
    <fill>
      <patternFill patternType="solid">
        <fgColor rgb="FFFFFFD7"/>
        <bgColor rgb="FFFFFFCC"/>
      </patternFill>
    </fill>
    <fill>
      <patternFill patternType="solid">
        <fgColor rgb="FFF6F9D4"/>
        <bgColor rgb="FFFFFFD7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BEAA6"/>
      </patternFill>
    </fill>
    <fill>
      <patternFill patternType="solid">
        <fgColor theme="0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4586"/>
      </top>
      <bottom style="thin">
        <color rgb="FF004586"/>
      </bottom>
      <diagonal/>
    </border>
    <border>
      <left style="thin">
        <color auto="1"/>
      </left>
      <right style="thin">
        <color rgb="FF004586"/>
      </right>
      <top style="thin">
        <color rgb="FF004586"/>
      </top>
      <bottom style="thin">
        <color auto="1"/>
      </bottom>
      <diagonal/>
    </border>
    <border>
      <left style="thin">
        <color rgb="FF004586"/>
      </left>
      <right style="thin">
        <color auto="1"/>
      </right>
      <top style="thin">
        <color rgb="FF004586"/>
      </top>
      <bottom style="thin">
        <color rgb="FF004586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9" fontId="2" fillId="0" borderId="0"/>
    <xf numFmtId="0" fontId="3" fillId="0" borderId="0"/>
  </cellStyleXfs>
  <cellXfs count="297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165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166" fontId="8" fillId="4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Border="1"/>
    <xf numFmtId="0" fontId="8" fillId="4" borderId="1" xfId="0" applyFont="1" applyFill="1" applyBorder="1" applyAlignment="1">
      <alignment horizontal="center" wrapText="1"/>
    </xf>
    <xf numFmtId="10" fontId="12" fillId="6" borderId="1" xfId="1" applyNumberFormat="1" applyFont="1" applyFill="1" applyBorder="1" applyAlignment="1">
      <alignment horizontal="center" vertical="center"/>
    </xf>
    <xf numFmtId="167" fontId="4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7" borderId="0" xfId="0" applyFont="1" applyFill="1" applyAlignment="1">
      <alignment vertical="center"/>
    </xf>
    <xf numFmtId="166" fontId="4" fillId="0" borderId="3" xfId="0" applyNumberFormat="1" applyFont="1" applyBorder="1" applyAlignment="1">
      <alignment horizontal="center"/>
    </xf>
    <xf numFmtId="0" fontId="5" fillId="0" borderId="1" xfId="0" applyFont="1" applyBorder="1"/>
    <xf numFmtId="166" fontId="8" fillId="4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9" fillId="7" borderId="1" xfId="0" applyNumberFormat="1" applyFont="1" applyFill="1" applyBorder="1" applyAlignment="1">
      <alignment horizontal="center" vertical="center"/>
    </xf>
    <xf numFmtId="0" fontId="14" fillId="0" borderId="1" xfId="0" applyFont="1" applyBorder="1"/>
    <xf numFmtId="0" fontId="1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1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8" fontId="19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23" fillId="10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Alignment="1">
      <alignment vertical="center" wrapText="1"/>
    </xf>
    <xf numFmtId="0" fontId="15" fillId="0" borderId="1" xfId="0" applyFont="1" applyBorder="1" applyAlignment="1">
      <alignment wrapText="1"/>
    </xf>
    <xf numFmtId="164" fontId="14" fillId="6" borderId="1" xfId="0" applyNumberFormat="1" applyFont="1" applyFill="1" applyBorder="1" applyAlignment="1">
      <alignment wrapText="1"/>
    </xf>
    <xf numFmtId="164" fontId="14" fillId="0" borderId="1" xfId="0" applyNumberFormat="1" applyFont="1" applyBorder="1" applyAlignment="1">
      <alignment wrapText="1"/>
    </xf>
    <xf numFmtId="168" fontId="1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justify" wrapText="1"/>
    </xf>
    <xf numFmtId="0" fontId="16" fillId="14" borderId="1" xfId="0" applyFont="1" applyFill="1" applyBorder="1" applyAlignment="1">
      <alignment horizontal="center" wrapText="1"/>
    </xf>
    <xf numFmtId="164" fontId="14" fillId="0" borderId="1" xfId="0" applyNumberFormat="1" applyFont="1" applyBorder="1" applyAlignment="1">
      <alignment vertical="center" wrapText="1"/>
    </xf>
    <xf numFmtId="10" fontId="14" fillId="6" borderId="1" xfId="0" applyNumberFormat="1" applyFont="1" applyFill="1" applyBorder="1" applyAlignment="1" applyProtection="1">
      <alignment vertical="center" wrapText="1"/>
      <protection locked="0"/>
    </xf>
    <xf numFmtId="164" fontId="5" fillId="6" borderId="1" xfId="0" applyNumberFormat="1" applyFont="1" applyFill="1" applyBorder="1" applyAlignment="1">
      <alignment horizontal="right" vertical="center" wrapText="1"/>
    </xf>
    <xf numFmtId="164" fontId="16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0" fontId="14" fillId="0" borderId="1" xfId="0" applyNumberFormat="1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164" fontId="14" fillId="6" borderId="1" xfId="0" applyNumberFormat="1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0" fontId="14" fillId="0" borderId="1" xfId="0" applyNumberFormat="1" applyFont="1" applyBorder="1" applyAlignment="1" applyProtection="1">
      <alignment vertical="center" wrapText="1"/>
      <protection locked="0"/>
    </xf>
    <xf numFmtId="10" fontId="14" fillId="0" borderId="11" xfId="0" applyNumberFormat="1" applyFont="1" applyBorder="1" applyAlignment="1" applyProtection="1">
      <alignment vertical="center" wrapText="1"/>
      <protection locked="0"/>
    </xf>
    <xf numFmtId="164" fontId="14" fillId="0" borderId="11" xfId="0" applyNumberFormat="1" applyFont="1" applyBorder="1" applyAlignment="1">
      <alignment vertical="center" wrapText="1"/>
    </xf>
    <xf numFmtId="169" fontId="14" fillId="0" borderId="1" xfId="0" applyNumberFormat="1" applyFont="1" applyBorder="1" applyAlignment="1">
      <alignment vertical="center" wrapText="1"/>
    </xf>
    <xf numFmtId="10" fontId="14" fillId="0" borderId="12" xfId="0" applyNumberFormat="1" applyFont="1" applyBorder="1" applyAlignment="1" applyProtection="1">
      <alignment vertical="center" wrapText="1"/>
      <protection locked="0"/>
    </xf>
    <xf numFmtId="164" fontId="14" fillId="0" borderId="12" xfId="0" applyNumberFormat="1" applyFont="1" applyBorder="1" applyAlignment="1">
      <alignment vertical="center" wrapText="1"/>
    </xf>
    <xf numFmtId="0" fontId="27" fillId="10" borderId="1" xfId="0" applyFont="1" applyFill="1" applyBorder="1" applyAlignment="1">
      <alignment horizontal="center" vertical="center" wrapText="1"/>
    </xf>
    <xf numFmtId="164" fontId="28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0" fillId="0" borderId="0" xfId="0" applyNumberFormat="1"/>
    <xf numFmtId="10" fontId="14" fillId="7" borderId="1" xfId="0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vertical="center" wrapText="1"/>
    </xf>
    <xf numFmtId="164" fontId="15" fillId="0" borderId="0" xfId="0" applyNumberFormat="1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164" fontId="33" fillId="1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22" fillId="0" borderId="0" xfId="2" applyFont="1" applyAlignment="1">
      <alignment horizontal="right"/>
    </xf>
    <xf numFmtId="164" fontId="22" fillId="0" borderId="1" xfId="0" applyNumberFormat="1" applyFont="1" applyBorder="1" applyAlignment="1">
      <alignment horizontal="center" wrapText="1"/>
    </xf>
    <xf numFmtId="0" fontId="26" fillId="0" borderId="0" xfId="0" applyFont="1" applyAlignment="1">
      <alignment horizontal="center" vertical="center" wrapText="1"/>
    </xf>
    <xf numFmtId="164" fontId="33" fillId="0" borderId="0" xfId="0" applyNumberFormat="1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164" fontId="33" fillId="10" borderId="13" xfId="0" applyNumberFormat="1" applyFont="1" applyFill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vertical="center"/>
      <protection locked="0"/>
    </xf>
    <xf numFmtId="0" fontId="22" fillId="0" borderId="1" xfId="0" applyFont="1" applyBorder="1" applyAlignment="1" applyProtection="1">
      <alignment vertical="center"/>
      <protection locked="0"/>
    </xf>
    <xf numFmtId="10" fontId="22" fillId="6" borderId="1" xfId="1" applyNumberFormat="1" applyFont="1" applyFill="1" applyBorder="1" applyAlignment="1" applyProtection="1">
      <alignment horizontal="center" vertical="center"/>
      <protection locked="0"/>
    </xf>
    <xf numFmtId="10" fontId="19" fillId="0" borderId="1" xfId="1" applyNumberFormat="1" applyFont="1" applyBorder="1" applyAlignment="1">
      <alignment horizontal="center" vertical="center"/>
    </xf>
    <xf numFmtId="10" fontId="22" fillId="0" borderId="1" xfId="1" applyNumberFormat="1" applyFont="1" applyBorder="1" applyAlignment="1" applyProtection="1">
      <alignment horizontal="center" vertical="center"/>
      <protection locked="0"/>
    </xf>
    <xf numFmtId="10" fontId="22" fillId="0" borderId="1" xfId="1" applyNumberFormat="1" applyFont="1" applyBorder="1" applyAlignment="1">
      <alignment horizontal="center" vertical="center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0" fontId="22" fillId="7" borderId="1" xfId="0" applyFont="1" applyFill="1" applyBorder="1" applyAlignment="1" applyProtection="1">
      <alignment vertical="center"/>
      <protection locked="0"/>
    </xf>
    <xf numFmtId="0" fontId="22" fillId="7" borderId="1" xfId="0" applyFont="1" applyFill="1" applyBorder="1" applyAlignment="1" applyProtection="1">
      <alignment horizontal="center" vertical="center"/>
      <protection locked="0"/>
    </xf>
    <xf numFmtId="10" fontId="19" fillId="0" borderId="1" xfId="0" applyNumberFormat="1" applyFont="1" applyBorder="1" applyAlignment="1">
      <alignment horizontal="center" vertical="center" wrapText="1"/>
    </xf>
    <xf numFmtId="10" fontId="22" fillId="0" borderId="0" xfId="0" applyNumberFormat="1" applyFont="1" applyAlignment="1">
      <alignment horizontal="center" vertical="center" wrapText="1"/>
    </xf>
    <xf numFmtId="10" fontId="35" fillId="10" borderId="1" xfId="0" applyNumberFormat="1" applyFont="1" applyFill="1" applyBorder="1" applyAlignment="1">
      <alignment horizontal="center" vertical="center" wrapText="1"/>
    </xf>
    <xf numFmtId="164" fontId="32" fillId="4" borderId="1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wrapText="1"/>
    </xf>
    <xf numFmtId="2" fontId="9" fillId="0" borderId="0" xfId="0" applyNumberFormat="1" applyFont="1" applyAlignment="1">
      <alignment horizontal="center" vertical="center" wrapText="1"/>
    </xf>
    <xf numFmtId="4" fontId="4" fillId="0" borderId="0" xfId="0" applyNumberFormat="1" applyFont="1"/>
    <xf numFmtId="4" fontId="4" fillId="0" borderId="0" xfId="0" applyNumberFormat="1" applyFont="1" applyAlignment="1">
      <alignment horizontal="center"/>
    </xf>
    <xf numFmtId="8" fontId="40" fillId="0" borderId="2" xfId="0" applyNumberFormat="1" applyFont="1" applyBorder="1"/>
    <xf numFmtId="8" fontId="40" fillId="0" borderId="14" xfId="0" applyNumberFormat="1" applyFont="1" applyBorder="1"/>
    <xf numFmtId="0" fontId="40" fillId="0" borderId="11" xfId="0" applyFont="1" applyBorder="1"/>
    <xf numFmtId="0" fontId="41" fillId="18" borderId="1" xfId="0" applyFont="1" applyFill="1" applyBorder="1"/>
    <xf numFmtId="0" fontId="41" fillId="18" borderId="8" xfId="0" applyFont="1" applyFill="1" applyBorder="1" applyAlignment="1">
      <alignment horizontal="center"/>
    </xf>
    <xf numFmtId="0" fontId="41" fillId="18" borderId="13" xfId="0" applyFont="1" applyFill="1" applyBorder="1" applyAlignment="1">
      <alignment horizontal="center" wrapText="1"/>
    </xf>
    <xf numFmtId="0" fontId="41" fillId="18" borderId="1" xfId="0" applyFont="1" applyFill="1" applyBorder="1" applyAlignment="1">
      <alignment horizontal="center" wrapText="1"/>
    </xf>
    <xf numFmtId="0" fontId="41" fillId="18" borderId="13" xfId="0" applyFont="1" applyFill="1" applyBorder="1"/>
    <xf numFmtId="0" fontId="40" fillId="18" borderId="8" xfId="0" applyFont="1" applyFill="1" applyBorder="1"/>
    <xf numFmtId="8" fontId="41" fillId="18" borderId="13" xfId="0" applyNumberFormat="1" applyFont="1" applyFill="1" applyBorder="1"/>
    <xf numFmtId="8" fontId="41" fillId="18" borderId="1" xfId="0" applyNumberFormat="1" applyFont="1" applyFill="1" applyBorder="1"/>
    <xf numFmtId="4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0" fillId="0" borderId="0" xfId="0"/>
    <xf numFmtId="164" fontId="14" fillId="19" borderId="1" xfId="0" applyNumberFormat="1" applyFont="1" applyFill="1" applyBorder="1" applyAlignment="1">
      <alignment vertical="center" wrapText="1"/>
    </xf>
    <xf numFmtId="0" fontId="14" fillId="19" borderId="1" xfId="0" applyFont="1" applyFill="1" applyBorder="1" applyAlignment="1">
      <alignment vertical="center" wrapText="1"/>
    </xf>
    <xf numFmtId="164" fontId="14" fillId="20" borderId="1" xfId="0" applyNumberFormat="1" applyFont="1" applyFill="1" applyBorder="1" applyAlignment="1">
      <alignment vertical="center" wrapText="1"/>
    </xf>
    <xf numFmtId="0" fontId="0" fillId="0" borderId="0" xfId="0" applyBorder="1"/>
    <xf numFmtId="0" fontId="40" fillId="21" borderId="0" xfId="0" applyFont="1" applyFill="1" applyAlignment="1">
      <alignment horizontal="center"/>
    </xf>
    <xf numFmtId="0" fontId="0" fillId="11" borderId="8" xfId="0" applyFill="1" applyBorder="1"/>
    <xf numFmtId="0" fontId="0" fillId="0" borderId="0" xfId="0"/>
    <xf numFmtId="0" fontId="14" fillId="2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164" fontId="7" fillId="0" borderId="0" xfId="0" applyNumberFormat="1" applyFont="1" applyBorder="1" applyAlignment="1" applyProtection="1">
      <alignment horizontal="center" wrapText="1"/>
      <protection locked="0"/>
    </xf>
    <xf numFmtId="164" fontId="16" fillId="22" borderId="0" xfId="0" applyNumberFormat="1" applyFont="1" applyFill="1" applyBorder="1" applyAlignment="1">
      <alignment horizontal="center" wrapText="1"/>
    </xf>
    <xf numFmtId="0" fontId="15" fillId="20" borderId="1" xfId="0" applyFont="1" applyFill="1" applyBorder="1" applyAlignment="1">
      <alignment wrapText="1"/>
    </xf>
    <xf numFmtId="0" fontId="16" fillId="0" borderId="11" xfId="0" applyFont="1" applyBorder="1" applyAlignment="1">
      <alignment horizontal="center" wrapText="1"/>
    </xf>
    <xf numFmtId="0" fontId="16" fillId="14" borderId="11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vertical="center" wrapText="1"/>
    </xf>
    <xf numFmtId="0" fontId="14" fillId="19" borderId="1" xfId="0" applyFont="1" applyFill="1" applyBorder="1" applyAlignment="1">
      <alignment horizontal="center" wrapText="1"/>
    </xf>
    <xf numFmtId="164" fontId="14" fillId="23" borderId="15" xfId="0" applyNumberFormat="1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0" fillId="0" borderId="0" xfId="0"/>
    <xf numFmtId="0" fontId="19" fillId="5" borderId="1" xfId="0" applyFont="1" applyFill="1" applyBorder="1" applyAlignment="1">
      <alignment horizontal="center" vertical="center" wrapText="1"/>
    </xf>
    <xf numFmtId="164" fontId="22" fillId="19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/>
    <xf numFmtId="0" fontId="20" fillId="24" borderId="1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left" vertical="center" wrapText="1"/>
    </xf>
    <xf numFmtId="0" fontId="16" fillId="11" borderId="0" xfId="0" applyFont="1" applyFill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0" xfId="0"/>
    <xf numFmtId="0" fontId="16" fillId="13" borderId="1" xfId="0" applyFont="1" applyFill="1" applyBorder="1" applyAlignment="1">
      <alignment horizontal="left" vertical="center" wrapText="1"/>
    </xf>
    <xf numFmtId="0" fontId="16" fillId="8" borderId="0" xfId="0" applyFont="1" applyFill="1" applyBorder="1" applyAlignment="1">
      <alignment horizontal="center" vertical="center" wrapText="1"/>
    </xf>
    <xf numFmtId="0" fontId="19" fillId="9" borderId="0" xfId="0" applyFont="1" applyFill="1" applyBorder="1" applyAlignment="1">
      <alignment horizontal="center" vertical="center" wrapText="1"/>
    </xf>
    <xf numFmtId="0" fontId="0" fillId="11" borderId="0" xfId="0" applyFill="1" applyBorder="1"/>
    <xf numFmtId="0" fontId="22" fillId="0" borderId="0" xfId="0" applyFont="1" applyBorder="1" applyAlignment="1">
      <alignment horizontal="center"/>
    </xf>
    <xf numFmtId="0" fontId="14" fillId="12" borderId="0" xfId="0" applyFont="1" applyFill="1" applyBorder="1" applyAlignment="1">
      <alignment horizontal="center" vertical="center" wrapText="1"/>
    </xf>
    <xf numFmtId="0" fontId="16" fillId="13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6" fillId="13" borderId="0" xfId="0" applyFont="1" applyFill="1" applyBorder="1" applyAlignment="1">
      <alignment horizontal="left" vertical="center" wrapText="1"/>
    </xf>
    <xf numFmtId="0" fontId="19" fillId="11" borderId="0" xfId="0" applyFont="1" applyFill="1" applyBorder="1" applyAlignment="1">
      <alignment horizontal="left" vertical="center" wrapText="1"/>
    </xf>
    <xf numFmtId="0" fontId="16" fillId="11" borderId="0" xfId="0" applyFont="1" applyFill="1" applyBorder="1" applyAlignment="1">
      <alignment horizontal="left" vertical="center" wrapText="1"/>
    </xf>
    <xf numFmtId="0" fontId="14" fillId="11" borderId="0" xfId="0" applyFont="1" applyFill="1" applyBorder="1" applyAlignment="1">
      <alignment horizontal="left" vertical="center" wrapText="1"/>
    </xf>
    <xf numFmtId="0" fontId="22" fillId="11" borderId="0" xfId="0" applyFont="1" applyFill="1" applyBorder="1" applyAlignment="1">
      <alignment horizontal="left" vertical="center" wrapText="1"/>
    </xf>
    <xf numFmtId="164" fontId="14" fillId="0" borderId="13" xfId="0" applyNumberFormat="1" applyFont="1" applyBorder="1" applyAlignment="1">
      <alignment vertical="center" wrapText="1"/>
    </xf>
    <xf numFmtId="164" fontId="14" fillId="0" borderId="9" xfId="0" applyNumberFormat="1" applyFont="1" applyBorder="1" applyAlignment="1">
      <alignment vertical="center" wrapText="1"/>
    </xf>
    <xf numFmtId="169" fontId="14" fillId="0" borderId="13" xfId="0" applyNumberFormat="1" applyFont="1" applyBorder="1" applyAlignment="1">
      <alignment vertical="center" wrapText="1"/>
    </xf>
    <xf numFmtId="164" fontId="14" fillId="0" borderId="16" xfId="0" applyNumberFormat="1" applyFont="1" applyBorder="1" applyAlignment="1">
      <alignment vertical="center" wrapText="1"/>
    </xf>
    <xf numFmtId="164" fontId="16" fillId="0" borderId="13" xfId="0" applyNumberFormat="1" applyFont="1" applyBorder="1" applyAlignment="1">
      <alignment vertical="center" wrapText="1"/>
    </xf>
    <xf numFmtId="0" fontId="16" fillId="11" borderId="1" xfId="0" applyFont="1" applyFill="1" applyBorder="1" applyAlignment="1">
      <alignment horizontal="left" vertical="center" wrapText="1"/>
    </xf>
    <xf numFmtId="164" fontId="42" fillId="0" borderId="0" xfId="0" applyNumberFormat="1" applyFont="1" applyAlignment="1">
      <alignment vertical="center" wrapText="1"/>
    </xf>
    <xf numFmtId="0" fontId="16" fillId="13" borderId="1" xfId="0" applyFont="1" applyFill="1" applyBorder="1" applyAlignment="1">
      <alignment horizontal="left" vertical="center" wrapText="1"/>
    </xf>
    <xf numFmtId="10" fontId="14" fillId="19" borderId="1" xfId="0" applyNumberFormat="1" applyFont="1" applyFill="1" applyBorder="1" applyAlignment="1" applyProtection="1">
      <alignment vertical="center" wrapText="1"/>
      <protection locked="0"/>
    </xf>
    <xf numFmtId="164" fontId="14" fillId="6" borderId="13" xfId="0" applyNumberFormat="1" applyFont="1" applyFill="1" applyBorder="1" applyAlignment="1">
      <alignment vertical="center" wrapText="1"/>
    </xf>
    <xf numFmtId="0" fontId="1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164" fontId="14" fillId="0" borderId="0" xfId="0" applyNumberFormat="1" applyFont="1" applyBorder="1" applyAlignment="1">
      <alignment horizontal="center" vertical="center" wrapText="1"/>
    </xf>
    <xf numFmtId="164" fontId="14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164" fontId="7" fillId="20" borderId="0" xfId="0" applyNumberFormat="1" applyFont="1" applyFill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left" wrapText="1"/>
    </xf>
    <xf numFmtId="0" fontId="14" fillId="2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wrapText="1"/>
    </xf>
    <xf numFmtId="0" fontId="15" fillId="20" borderId="1" xfId="0" applyFont="1" applyFill="1" applyBorder="1" applyAlignment="1">
      <alignment horizontal="center"/>
    </xf>
    <xf numFmtId="0" fontId="15" fillId="25" borderId="1" xfId="0" applyFont="1" applyFill="1" applyBorder="1" applyAlignment="1">
      <alignment horizontal="center" wrapText="1"/>
    </xf>
    <xf numFmtId="4" fontId="8" fillId="4" borderId="6" xfId="0" applyNumberFormat="1" applyFont="1" applyFill="1" applyBorder="1" applyAlignment="1">
      <alignment horizontal="center" vertical="center"/>
    </xf>
    <xf numFmtId="4" fontId="9" fillId="7" borderId="1" xfId="0" applyNumberFormat="1" applyFont="1" applyFill="1" applyBorder="1" applyAlignment="1">
      <alignment horizontal="center" vertical="center"/>
    </xf>
    <xf numFmtId="4" fontId="32" fillId="4" borderId="1" xfId="0" applyNumberFormat="1" applyFont="1" applyFill="1" applyBorder="1" applyAlignment="1">
      <alignment horizontal="center" vertical="center"/>
    </xf>
    <xf numFmtId="4" fontId="41" fillId="18" borderId="13" xfId="0" applyNumberFormat="1" applyFont="1" applyFill="1" applyBorder="1" applyAlignment="1">
      <alignment horizontal="center" wrapText="1"/>
    </xf>
    <xf numFmtId="4" fontId="41" fillId="18" borderId="1" xfId="0" applyNumberFormat="1" applyFont="1" applyFill="1" applyBorder="1" applyAlignment="1">
      <alignment horizontal="center" wrapText="1"/>
    </xf>
    <xf numFmtId="4" fontId="40" fillId="0" borderId="2" xfId="0" applyNumberFormat="1" applyFont="1" applyBorder="1"/>
    <xf numFmtId="4" fontId="40" fillId="0" borderId="14" xfId="0" applyNumberFormat="1" applyFont="1" applyBorder="1"/>
    <xf numFmtId="4" fontId="41" fillId="18" borderId="13" xfId="0" applyNumberFormat="1" applyFont="1" applyFill="1" applyBorder="1"/>
    <xf numFmtId="4" fontId="41" fillId="18" borderId="1" xfId="0" applyNumberFormat="1" applyFont="1" applyFill="1" applyBorder="1"/>
    <xf numFmtId="0" fontId="0" fillId="0" borderId="0" xfId="0"/>
    <xf numFmtId="0" fontId="6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 applyProtection="1">
      <alignment horizontal="left" vertical="center"/>
      <protection locked="0"/>
    </xf>
    <xf numFmtId="0" fontId="9" fillId="0" borderId="1" xfId="0" applyFont="1" applyBorder="1" applyAlignment="1">
      <alignment horizontal="left" vertical="center"/>
    </xf>
    <xf numFmtId="0" fontId="13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/>
    </xf>
    <xf numFmtId="0" fontId="4" fillId="0" borderId="0" xfId="0" applyFont="1" applyAlignment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4" fillId="12" borderId="13" xfId="0" applyFont="1" applyFill="1" applyBorder="1" applyAlignment="1">
      <alignment horizontal="center" vertical="center" wrapText="1"/>
    </xf>
    <xf numFmtId="0" fontId="14" fillId="12" borderId="8" xfId="0" applyFont="1" applyFill="1" applyBorder="1" applyAlignment="1">
      <alignment horizontal="center" vertical="center" wrapText="1"/>
    </xf>
    <xf numFmtId="0" fontId="14" fillId="12" borderId="15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6" fillId="13" borderId="13" xfId="0" applyFont="1" applyFill="1" applyBorder="1" applyAlignment="1">
      <alignment horizontal="center" vertical="center" wrapText="1"/>
    </xf>
    <xf numFmtId="0" fontId="16" fillId="13" borderId="8" xfId="0" applyFont="1" applyFill="1" applyBorder="1" applyAlignment="1">
      <alignment horizontal="center" vertical="center" wrapText="1"/>
    </xf>
    <xf numFmtId="0" fontId="16" fillId="13" borderId="15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left" vertical="center" wrapText="1"/>
    </xf>
    <xf numFmtId="0" fontId="16" fillId="11" borderId="10" xfId="0" applyFont="1" applyFill="1" applyBorder="1" applyAlignment="1">
      <alignment horizontal="left" vertical="center" wrapText="1"/>
    </xf>
    <xf numFmtId="0" fontId="16" fillId="11" borderId="7" xfId="0" applyFont="1" applyFill="1" applyBorder="1" applyAlignment="1">
      <alignment horizontal="left" vertical="center" wrapText="1"/>
    </xf>
    <xf numFmtId="0" fontId="19" fillId="11" borderId="8" xfId="0" applyFont="1" applyFill="1" applyBorder="1" applyAlignment="1">
      <alignment horizontal="left" vertical="center" wrapText="1"/>
    </xf>
    <xf numFmtId="0" fontId="16" fillId="15" borderId="1" xfId="0" applyFont="1" applyFill="1" applyBorder="1" applyAlignment="1">
      <alignment vertical="center" wrapText="1"/>
    </xf>
    <xf numFmtId="0" fontId="16" fillId="11" borderId="0" xfId="0" applyFont="1" applyFill="1" applyAlignment="1">
      <alignment horizontal="left" vertical="center" wrapText="1"/>
    </xf>
    <xf numFmtId="0" fontId="0" fillId="11" borderId="8" xfId="0" applyFill="1" applyBorder="1"/>
    <xf numFmtId="0" fontId="0" fillId="0" borderId="1" xfId="0" applyBorder="1"/>
    <xf numFmtId="0" fontId="16" fillId="0" borderId="1" xfId="0" applyFont="1" applyBorder="1" applyAlignment="1">
      <alignment vertical="center" wrapText="1"/>
    </xf>
    <xf numFmtId="0" fontId="14" fillId="11" borderId="8" xfId="0" applyFont="1" applyFill="1" applyBorder="1" applyAlignment="1">
      <alignment horizontal="left" vertical="center" wrapText="1"/>
    </xf>
    <xf numFmtId="0" fontId="16" fillId="13" borderId="13" xfId="0" applyFont="1" applyFill="1" applyBorder="1" applyAlignment="1">
      <alignment horizontal="left" vertical="center" wrapText="1"/>
    </xf>
    <xf numFmtId="0" fontId="22" fillId="11" borderId="10" xfId="0" applyFont="1" applyFill="1" applyBorder="1" applyAlignment="1">
      <alignment horizontal="left" vertical="center" wrapText="1"/>
    </xf>
    <xf numFmtId="0" fontId="19" fillId="11" borderId="7" xfId="0" applyFont="1" applyFill="1" applyBorder="1" applyAlignment="1">
      <alignment horizontal="left" vertical="center" wrapText="1"/>
    </xf>
    <xf numFmtId="0" fontId="16" fillId="11" borderId="8" xfId="0" applyFont="1" applyFill="1" applyBorder="1" applyAlignment="1">
      <alignment horizontal="left" vertical="center" wrapText="1"/>
    </xf>
    <xf numFmtId="0" fontId="14" fillId="15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23" borderId="13" xfId="0" applyFont="1" applyFill="1" applyBorder="1" applyAlignment="1">
      <alignment horizontal="center" wrapText="1"/>
    </xf>
    <xf numFmtId="0" fontId="14" fillId="23" borderId="8" xfId="0" applyFont="1" applyFill="1" applyBorder="1" applyAlignment="1">
      <alignment horizontal="center" wrapText="1"/>
    </xf>
    <xf numFmtId="0" fontId="16" fillId="8" borderId="7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2" fillId="10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11" borderId="7" xfId="0" applyFill="1" applyBorder="1"/>
    <xf numFmtId="0" fontId="16" fillId="13" borderId="1" xfId="0" applyFont="1" applyFill="1" applyBorder="1" applyAlignment="1">
      <alignment horizontal="center" vertical="center" wrapText="1"/>
    </xf>
    <xf numFmtId="0" fontId="19" fillId="16" borderId="1" xfId="0" applyFont="1" applyFill="1" applyBorder="1" applyAlignment="1">
      <alignment horizontal="center" vertical="center" wrapText="1"/>
    </xf>
    <xf numFmtId="0" fontId="34" fillId="16" borderId="1" xfId="0" applyFont="1" applyFill="1" applyBorder="1" applyAlignment="1">
      <alignment horizontal="center" vertical="center" wrapText="1"/>
    </xf>
    <xf numFmtId="0" fontId="0" fillId="0" borderId="0" xfId="0"/>
    <xf numFmtId="0" fontId="31" fillId="1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 wrapText="1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0" fillId="17" borderId="14" xfId="0" applyFill="1" applyBorder="1"/>
    <xf numFmtId="0" fontId="22" fillId="7" borderId="1" xfId="0" applyFont="1" applyFill="1" applyBorder="1" applyAlignment="1" applyProtection="1">
      <alignment horizontal="center" vertical="center"/>
      <protection locked="0"/>
    </xf>
    <xf numFmtId="0" fontId="38" fillId="0" borderId="1" xfId="0" applyFont="1" applyBorder="1" applyAlignment="1">
      <alignment horizontal="center" vertical="center"/>
    </xf>
    <xf numFmtId="0" fontId="31" fillId="10" borderId="13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left" vertical="center"/>
    </xf>
    <xf numFmtId="0" fontId="24" fillId="0" borderId="8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11" fillId="16" borderId="13" xfId="0" applyFont="1" applyFill="1" applyBorder="1" applyAlignment="1">
      <alignment horizontal="center" vertical="center" wrapText="1"/>
    </xf>
    <xf numFmtId="0" fontId="11" fillId="16" borderId="8" xfId="0" applyFont="1" applyFill="1" applyBorder="1" applyAlignment="1">
      <alignment horizontal="center" vertical="center" wrapText="1"/>
    </xf>
    <xf numFmtId="0" fontId="11" fillId="16" borderId="15" xfId="0" applyFont="1" applyFill="1" applyBorder="1" applyAlignment="1">
      <alignment horizontal="center" vertical="center" wrapText="1"/>
    </xf>
    <xf numFmtId="0" fontId="31" fillId="10" borderId="8" xfId="0" applyFont="1" applyFill="1" applyBorder="1" applyAlignment="1">
      <alignment horizontal="center" vertical="center" wrapText="1"/>
    </xf>
  </cellXfs>
  <cellStyles count="3">
    <cellStyle name="Normal" xfId="0" builtinId="0"/>
    <cellStyle name="Porcentagem" xfId="1" builtinId="5"/>
    <cellStyle name="Texto Explica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CC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2B2B2"/>
      <rgbColor rgb="FF808080"/>
      <rgbColor rgb="FFFFD8CE"/>
      <rgbColor rgb="FF993366"/>
      <rgbColor rgb="FFFFFFCC"/>
      <rgbColor rgb="FFBAFCFC"/>
      <rgbColor rgb="FF660066"/>
      <rgbColor rgb="FFEC9BA4"/>
      <rgbColor rgb="FF0066CC"/>
      <rgbColor rgb="FFDDDDDD"/>
      <rgbColor rgb="FF000080"/>
      <rgbColor rgb="FFFF00FF"/>
      <rgbColor rgb="FFFBEAA6"/>
      <rgbColor rgb="FF00FFFF"/>
      <rgbColor rgb="FF990099"/>
      <rgbColor rgb="FF800000"/>
      <rgbColor rgb="FF008080"/>
      <rgbColor rgb="FF0000EE"/>
      <rgbColor rgb="FF00CCFF"/>
      <rgbColor rgb="FFEEEEEE"/>
      <rgbColor rgb="FFCCFFCC"/>
      <rgbColor rgb="FFFFFF99"/>
      <rgbColor rgb="FFFFCCCC"/>
      <rgbColor rgb="FFFF99FF"/>
      <rgbColor rgb="FFFDCCFD"/>
      <rgbColor rgb="FFFDD291"/>
      <rgbColor rgb="FF3366FF"/>
      <rgbColor rgb="FFFFFFD7"/>
      <rgbColor rgb="FFFBE4C1"/>
      <rgbColor rgb="FFFCCA7F"/>
      <rgbColor rgb="FFF6F9D4"/>
      <rgbColor rgb="FFFF6600"/>
      <rgbColor rgb="FF666699"/>
      <rgbColor rgb="FF999999"/>
      <rgbColor rgb="FF00458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361950</xdr:colOff>
      <xdr:row>30</xdr:row>
      <xdr:rowOff>28575</xdr:rowOff>
    </xdr:to>
    <xdr:sp macro="" textlink="">
      <xdr:nvSpPr>
        <xdr:cNvPr id="1034" name="shapetype_202" hidden="1">
          <a:extLst>
            <a:ext uri="{FF2B5EF4-FFF2-40B4-BE49-F238E27FC236}">
              <a16:creationId xmlns:a16="http://schemas.microsoft.com/office/drawing/2014/main" id="{E2D5F460-8B55-4A87-AF62-48B4F5CBB53B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361950</xdr:colOff>
      <xdr:row>30</xdr:row>
      <xdr:rowOff>28575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id="{AE1CB372-E2AE-4143-B2DB-82F9791D110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361950</xdr:colOff>
      <xdr:row>30</xdr:row>
      <xdr:rowOff>28575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862BBB23-89B4-4321-8F8E-6448A611D7A1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361950</xdr:colOff>
      <xdr:row>30</xdr:row>
      <xdr:rowOff>28575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74AD5F90-C16A-414C-AB5E-729131FFA34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361950</xdr:colOff>
      <xdr:row>30</xdr:row>
      <xdr:rowOff>28575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172F6BDF-90BC-4D8D-8E49-EA1556AEC6E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76" name="shapetype_202" hidden="1">
          <a:extLst>
            <a:ext uri="{FF2B5EF4-FFF2-40B4-BE49-F238E27FC236}">
              <a16:creationId xmlns:a16="http://schemas.microsoft.com/office/drawing/2014/main" id="{BE0EE623-9413-45A1-80E9-24B5ACF52F7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74" name="shapetype_202" hidden="1">
          <a:extLst>
            <a:ext uri="{FF2B5EF4-FFF2-40B4-BE49-F238E27FC236}">
              <a16:creationId xmlns:a16="http://schemas.microsoft.com/office/drawing/2014/main" id="{598766E0-629E-4C92-935A-052F2F316E74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72" name="shapetype_202" hidden="1">
          <a:extLst>
            <a:ext uri="{FF2B5EF4-FFF2-40B4-BE49-F238E27FC236}">
              <a16:creationId xmlns:a16="http://schemas.microsoft.com/office/drawing/2014/main" id="{3075CFC1-E404-4E15-8CAA-6EA32DD5C5D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70" name="shapetype_202" hidden="1">
          <a:extLst>
            <a:ext uri="{FF2B5EF4-FFF2-40B4-BE49-F238E27FC236}">
              <a16:creationId xmlns:a16="http://schemas.microsoft.com/office/drawing/2014/main" id="{90681DA0-AB1F-4182-8CA8-B2291B9F116C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68" name="shapetype_202" hidden="1">
          <a:extLst>
            <a:ext uri="{FF2B5EF4-FFF2-40B4-BE49-F238E27FC236}">
              <a16:creationId xmlns:a16="http://schemas.microsoft.com/office/drawing/2014/main" id="{85E1E54E-031B-4303-942C-CFEA0C7AFEE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66" name="shapetype_202" hidden="1">
          <a:extLst>
            <a:ext uri="{FF2B5EF4-FFF2-40B4-BE49-F238E27FC236}">
              <a16:creationId xmlns:a16="http://schemas.microsoft.com/office/drawing/2014/main" id="{073A9D34-A0B0-429C-99C3-C1C256E8209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64" name="shapetype_202" hidden="1">
          <a:extLst>
            <a:ext uri="{FF2B5EF4-FFF2-40B4-BE49-F238E27FC236}">
              <a16:creationId xmlns:a16="http://schemas.microsoft.com/office/drawing/2014/main" id="{F2CA404C-E439-4EE5-80FB-990ADF6F40D9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62" name="shapetype_202" hidden="1">
          <a:extLst>
            <a:ext uri="{FF2B5EF4-FFF2-40B4-BE49-F238E27FC236}">
              <a16:creationId xmlns:a16="http://schemas.microsoft.com/office/drawing/2014/main" id="{6DA1AD8F-27C7-47EF-91F0-E531C047E4D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60" name="shapetype_202" hidden="1">
          <a:extLst>
            <a:ext uri="{FF2B5EF4-FFF2-40B4-BE49-F238E27FC236}">
              <a16:creationId xmlns:a16="http://schemas.microsoft.com/office/drawing/2014/main" id="{E8D82C54-6256-4C33-9E10-0809E40D4F9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58" name="shapetype_202" hidden="1">
          <a:extLst>
            <a:ext uri="{FF2B5EF4-FFF2-40B4-BE49-F238E27FC236}">
              <a16:creationId xmlns:a16="http://schemas.microsoft.com/office/drawing/2014/main" id="{9BC297AA-8DEF-4253-910D-4FFF0FD1AE91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56" name="shapetype_202" hidden="1">
          <a:extLst>
            <a:ext uri="{FF2B5EF4-FFF2-40B4-BE49-F238E27FC236}">
              <a16:creationId xmlns:a16="http://schemas.microsoft.com/office/drawing/2014/main" id="{24A20F58-1F88-4E6E-93DB-DB4A3E8AC679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54" name="shapetype_202" hidden="1">
          <a:extLst>
            <a:ext uri="{FF2B5EF4-FFF2-40B4-BE49-F238E27FC236}">
              <a16:creationId xmlns:a16="http://schemas.microsoft.com/office/drawing/2014/main" id="{691E58B8-57D5-4D41-BD72-0025BA2CBB9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id="{2D67E06A-E361-43BB-986D-2B10D0440B3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1419225</xdr:colOff>
      <xdr:row>42</xdr:row>
      <xdr:rowOff>95250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184C23C7-14B5-4B93-B6A6-CC2BACB4D67C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9525</xdr:colOff>
      <xdr:row>2</xdr:row>
      <xdr:rowOff>9525</xdr:rowOff>
    </xdr:to>
    <xdr:sp macro="" textlink="">
      <xdr:nvSpPr>
        <xdr:cNvPr id="3074" name="shapetype_202" hidden="1">
          <a:extLst>
            <a:ext uri="{FF2B5EF4-FFF2-40B4-BE49-F238E27FC236}">
              <a16:creationId xmlns:a16="http://schemas.microsoft.com/office/drawing/2014/main" id="{8B2927DE-D38B-449C-8188-61ECB1BEC02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90360</xdr:colOff>
      <xdr:row>19</xdr:row>
      <xdr:rowOff>19800</xdr:rowOff>
    </xdr:from>
    <xdr:to>
      <xdr:col>1</xdr:col>
      <xdr:colOff>2590620</xdr:colOff>
      <xdr:row>19</xdr:row>
      <xdr:rowOff>648720</xdr:rowOff>
    </xdr:to>
    <xdr:pic>
      <xdr:nvPicPr>
        <xdr:cNvPr id="2" name="Figura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0360" y="3172320"/>
          <a:ext cx="3405600" cy="628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47520</xdr:rowOff>
    </xdr:from>
    <xdr:to>
      <xdr:col>1</xdr:col>
      <xdr:colOff>2443275</xdr:colOff>
      <xdr:row>20</xdr:row>
      <xdr:rowOff>76320</xdr:rowOff>
    </xdr:to>
    <xdr:pic>
      <xdr:nvPicPr>
        <xdr:cNvPr id="2" name="Figura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543120"/>
          <a:ext cx="3405600" cy="62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237600</xdr:colOff>
      <xdr:row>19</xdr:row>
      <xdr:rowOff>85680</xdr:rowOff>
    </xdr:from>
    <xdr:to>
      <xdr:col>6</xdr:col>
      <xdr:colOff>3180</xdr:colOff>
      <xdr:row>20</xdr:row>
      <xdr:rowOff>103320</xdr:rowOff>
    </xdr:to>
    <xdr:pic>
      <xdr:nvPicPr>
        <xdr:cNvPr id="3" name="Figura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143320" y="3581280"/>
          <a:ext cx="3395880" cy="617760"/>
        </a:xfrm>
        <a:prstGeom prst="rect">
          <a:avLst/>
        </a:prstGeom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aura Luisa Medeiros de Souza" id="{5DB5C0F9-D5F9-4A46-BF47-C850B95705C3}" userId="S::laura.souza@rfb.gov.br::653dd33e-fca7-4c76-b393-90e065eee204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8" dT="2023-12-07T20:37:45.52" personId="{5DB5C0F9-D5F9-4A46-BF47-C850B95705C3}" id="{1E0303CE-2E58-4B5D-9CCE-9CCD4E94902C}">
    <text>MATERIAIS DE CONSUMO E FERRAMENTAS JÁ ESTA NOS CUSTOS NAS PLANILHAS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6" dT="2024-01-02T17:49:00.23" personId="{5DB5C0F9-D5F9-4A46-BF47-C850B95705C3}" id="{592F5C9A-6C54-4118-B331-E8BCEE65604F}">
    <text>Verificar se precisa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J16" dT="2023-12-05T18:16:56.60" personId="{5DB5C0F9-D5F9-4A46-BF47-C850B95705C3}" id="{A0D11FD7-7EBA-4527-838C-034ECDF03632}">
    <text>5-10 dias</text>
  </threadedComment>
  <threadedComment ref="G72" dT="2023-11-27T20:01:44.57" personId="{5DB5C0F9-D5F9-4A46-BF47-C850B95705C3}" id="{1D79A8BE-0E7C-4C0B-9FC5-D34686373780}">
    <text>Prêmio assiduidade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22"/>
  <sheetViews>
    <sheetView zoomScaleNormal="100" workbookViewId="0">
      <selection activeCell="C4" sqref="C4"/>
    </sheetView>
  </sheetViews>
  <sheetFormatPr defaultRowHeight="15"/>
  <cols>
    <col min="1" max="1" width="29.25" style="1" customWidth="1"/>
    <col min="2" max="2" width="7.25" style="1" customWidth="1"/>
    <col min="3" max="3" width="12.375" style="1" customWidth="1"/>
    <col min="4" max="4" width="15.25" style="1" customWidth="1"/>
    <col min="5" max="5" width="10.5" style="2" customWidth="1"/>
    <col min="6" max="6" width="2.875" style="1" customWidth="1"/>
    <col min="7" max="7" width="16.625" style="1" customWidth="1"/>
    <col min="8" max="8" width="8.875" style="1" customWidth="1"/>
    <col min="9" max="9" width="14.25" style="3" customWidth="1"/>
    <col min="10" max="10" width="17.625" style="3" customWidth="1"/>
    <col min="11" max="11" width="11.5" style="3" customWidth="1"/>
    <col min="12" max="12" width="11.25" style="3" bestFit="1" customWidth="1"/>
    <col min="13" max="13" width="10.375" style="1" bestFit="1" customWidth="1"/>
    <col min="14" max="257" width="8.875" style="1" customWidth="1"/>
    <col min="258" max="1023" width="8.875" customWidth="1"/>
    <col min="1024" max="1025" width="7.875" customWidth="1"/>
  </cols>
  <sheetData>
    <row r="1" spans="1:13" ht="36" customHeight="1">
      <c r="A1" s="235" t="s">
        <v>270</v>
      </c>
      <c r="B1" s="236"/>
      <c r="C1" s="236"/>
      <c r="D1" s="237"/>
    </row>
    <row r="2" spans="1:13" ht="18.75" customHeight="1">
      <c r="A2" s="225" t="s">
        <v>0</v>
      </c>
      <c r="B2" s="225"/>
      <c r="C2" s="225"/>
      <c r="D2" s="225"/>
      <c r="E2" s="4" t="s">
        <v>1</v>
      </c>
      <c r="G2" s="234"/>
      <c r="H2" s="234"/>
      <c r="I2" s="234"/>
      <c r="J2" s="234"/>
    </row>
    <row r="3" spans="1:13" ht="48" customHeight="1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G3" s="234"/>
      <c r="H3" s="234"/>
      <c r="I3" s="234"/>
    </row>
    <row r="4" spans="1:13" ht="15" customHeight="1">
      <c r="A4" s="7" t="str">
        <f>'PCFP-CUSTOS_FIXOS-Equipe_Reside'!A16</f>
        <v>Tecnico eletrônico - Foz</v>
      </c>
      <c r="B4" s="8">
        <f>'PCFP-CUSTOS_FIXOS-Equipe_Reside'!D16</f>
        <v>1</v>
      </c>
      <c r="C4" s="9">
        <f>'PCFP-CUSTOS_FIXOS-Equipe_Reside'!E135</f>
        <v>236.42100487276664</v>
      </c>
      <c r="D4" s="9">
        <f>C4*B4</f>
        <v>236.42100487276664</v>
      </c>
      <c r="E4" s="10">
        <f>D4/C18</f>
        <v>0.28465661877872822</v>
      </c>
      <c r="G4" s="118"/>
    </row>
    <row r="5" spans="1:13" ht="15" customHeight="1">
      <c r="A5" s="7" t="s">
        <v>266</v>
      </c>
      <c r="B5" s="8">
        <v>1</v>
      </c>
      <c r="C5" s="9">
        <f>'PCFP-CUSTOS_FIXOS-Equipe_Reside'!D135</f>
        <v>236.42100487276664</v>
      </c>
      <c r="D5" s="9">
        <f>C5*B5</f>
        <v>236.42100487276664</v>
      </c>
      <c r="E5" s="10">
        <f>D5/C18</f>
        <v>0.28465661877872822</v>
      </c>
      <c r="G5" s="118"/>
    </row>
    <row r="6" spans="1:13" ht="15" customHeight="1">
      <c r="A6" s="7" t="str">
        <f>'PCFP-CUSTOS_FIXOS-Equipe_Reside'!A17</f>
        <v>Oficial de Manutenção – FOZ</v>
      </c>
      <c r="B6" s="8">
        <f>'PCFP-CUSTOS_FIXOS-Equipe_Reside'!D17</f>
        <v>1</v>
      </c>
      <c r="C6" s="9">
        <f>'PCFP-CUSTOS_FIXOS-Equipe_Reside'!F135</f>
        <v>236.42100487276664</v>
      </c>
      <c r="D6" s="9">
        <f>C6*B6</f>
        <v>236.42100487276664</v>
      </c>
      <c r="E6" s="10">
        <f>D6/C18</f>
        <v>0.28465661877872822</v>
      </c>
      <c r="K6" s="119"/>
      <c r="L6" s="119"/>
      <c r="M6" s="118"/>
    </row>
    <row r="7" spans="1:13" ht="15" customHeight="1">
      <c r="A7" s="230" t="s">
        <v>7</v>
      </c>
      <c r="B7" s="230"/>
      <c r="C7" s="230"/>
      <c r="D7" s="11">
        <f>ROUND(SUM(D4:D6),2)</f>
        <v>709.26</v>
      </c>
      <c r="E7" s="12"/>
    </row>
    <row r="8" spans="1:13" ht="18.75" customHeight="1">
      <c r="A8" s="225" t="s">
        <v>8</v>
      </c>
      <c r="B8" s="225"/>
      <c r="C8" s="225"/>
      <c r="D8" s="225"/>
      <c r="I8" s="1"/>
      <c r="K8" s="132"/>
      <c r="L8" s="132"/>
      <c r="M8" s="118"/>
    </row>
    <row r="9" spans="1:13" ht="16.350000000000001" customHeight="1">
      <c r="A9" s="226" t="s">
        <v>9</v>
      </c>
      <c r="B9" s="226"/>
      <c r="C9" s="226"/>
      <c r="D9" s="13" t="s">
        <v>10</v>
      </c>
      <c r="E9" s="6"/>
      <c r="K9" s="132"/>
      <c r="L9" s="132"/>
      <c r="M9" s="118"/>
    </row>
    <row r="10" spans="1:13" ht="15.95" customHeight="1">
      <c r="A10" s="227" t="s">
        <v>268</v>
      </c>
      <c r="B10" s="227"/>
      <c r="C10" s="227"/>
      <c r="D10" s="14">
        <v>0</v>
      </c>
      <c r="E10" s="6"/>
      <c r="K10" s="15"/>
      <c r="L10" s="133"/>
      <c r="M10" s="118"/>
    </row>
    <row r="11" spans="1:13" ht="15" customHeight="1">
      <c r="A11" s="228" t="s">
        <v>285</v>
      </c>
      <c r="B11" s="228"/>
      <c r="C11" s="228"/>
      <c r="D11" s="9">
        <f>(D7*0.15)*(1-D10)*(1+LDI!C20)</f>
        <v>121.28806836072017</v>
      </c>
      <c r="E11" s="10">
        <f>D11/C18</f>
        <v>0.14603377333729808</v>
      </c>
      <c r="F11" s="17"/>
      <c r="K11" s="18"/>
      <c r="L11" s="133"/>
      <c r="M11" s="118"/>
    </row>
    <row r="12" spans="1:13" ht="15" customHeight="1">
      <c r="A12" s="230" t="s">
        <v>11</v>
      </c>
      <c r="B12" s="230"/>
      <c r="C12" s="230"/>
      <c r="D12" s="11">
        <f>SUM(D11:D11)</f>
        <v>121.28806836072017</v>
      </c>
      <c r="E12" s="12"/>
      <c r="K12" s="18"/>
      <c r="L12" s="16"/>
    </row>
    <row r="13" spans="1:13" ht="15" customHeight="1">
      <c r="A13" s="19"/>
      <c r="B13" s="20"/>
      <c r="C13" s="20"/>
      <c r="D13" s="21"/>
      <c r="E13" s="22"/>
      <c r="G13" s="118"/>
      <c r="K13" s="18"/>
      <c r="L13" s="16"/>
    </row>
    <row r="14" spans="1:13" ht="18.75" customHeight="1">
      <c r="A14" s="231" t="s">
        <v>277</v>
      </c>
      <c r="B14" s="231"/>
      <c r="C14" s="231"/>
      <c r="D14" s="231"/>
      <c r="E14" s="6"/>
      <c r="G14" s="118"/>
      <c r="K14" s="18"/>
      <c r="L14" s="16"/>
    </row>
    <row r="15" spans="1:13" s="24" customFormat="1" ht="48" customHeight="1">
      <c r="A15" s="232" t="s">
        <v>12</v>
      </c>
      <c r="B15" s="232"/>
      <c r="C15" s="215" t="s">
        <v>13</v>
      </c>
      <c r="D15" s="215"/>
      <c r="E15" s="6" t="s">
        <v>6</v>
      </c>
      <c r="G15" s="131"/>
      <c r="I15" s="25"/>
      <c r="J15" s="25"/>
      <c r="K15" s="18"/>
      <c r="L15" s="18"/>
    </row>
    <row r="16" spans="1:13" ht="15" customHeight="1">
      <c r="A16" s="233" t="s">
        <v>206</v>
      </c>
      <c r="B16" s="233"/>
      <c r="C16" s="216">
        <f>D7</f>
        <v>709.26</v>
      </c>
      <c r="D16" s="216"/>
      <c r="E16" s="10">
        <f>C16/C18</f>
        <v>0.85396622666270183</v>
      </c>
      <c r="K16" s="18"/>
      <c r="L16" s="16"/>
    </row>
    <row r="17" spans="1:12" ht="15" customHeight="1">
      <c r="A17" s="233" t="s">
        <v>14</v>
      </c>
      <c r="B17" s="233"/>
      <c r="C17" s="216">
        <f>D12</f>
        <v>121.28806836072017</v>
      </c>
      <c r="D17" s="216"/>
      <c r="E17" s="10">
        <f>C17/C18</f>
        <v>0.14603377333729808</v>
      </c>
      <c r="K17" s="18"/>
      <c r="L17" s="16"/>
    </row>
    <row r="18" spans="1:12" ht="18.600000000000001" customHeight="1">
      <c r="A18" s="229" t="s">
        <v>15</v>
      </c>
      <c r="B18" s="229"/>
      <c r="C18" s="217">
        <f>C16+C17</f>
        <v>830.54806836072021</v>
      </c>
      <c r="D18" s="217"/>
      <c r="E18" s="27"/>
      <c r="K18" s="18"/>
      <c r="L18" s="16"/>
    </row>
    <row r="19" spans="1:12">
      <c r="C19" s="118"/>
      <c r="D19" s="118"/>
    </row>
    <row r="20" spans="1:12" ht="30">
      <c r="A20" s="123" t="s">
        <v>201</v>
      </c>
      <c r="B20" s="124" t="s">
        <v>202</v>
      </c>
      <c r="C20" s="218" t="s">
        <v>203</v>
      </c>
      <c r="D20" s="219" t="s">
        <v>204</v>
      </c>
    </row>
    <row r="21" spans="1:12">
      <c r="A21" s="122" t="s">
        <v>169</v>
      </c>
      <c r="B21" s="139">
        <v>12</v>
      </c>
      <c r="C21" s="220">
        <f>C18</f>
        <v>830.54806836072021</v>
      </c>
      <c r="D21" s="221">
        <f>B21*C21</f>
        <v>9966.5768203286425</v>
      </c>
    </row>
    <row r="22" spans="1:12">
      <c r="A22" s="127" t="s">
        <v>205</v>
      </c>
      <c r="B22" s="128"/>
      <c r="C22" s="222">
        <f>SUM(C21:C21)</f>
        <v>830.54806836072021</v>
      </c>
      <c r="D22" s="223">
        <f>SUM(D21:D21)</f>
        <v>9966.5768203286425</v>
      </c>
    </row>
  </sheetData>
  <mergeCells count="15">
    <mergeCell ref="G2:J2"/>
    <mergeCell ref="G3:I3"/>
    <mergeCell ref="A1:D1"/>
    <mergeCell ref="A2:D2"/>
    <mergeCell ref="A7:C7"/>
    <mergeCell ref="A8:D8"/>
    <mergeCell ref="A9:C9"/>
    <mergeCell ref="A10:C10"/>
    <mergeCell ref="A11:C11"/>
    <mergeCell ref="A18:B18"/>
    <mergeCell ref="A12:C12"/>
    <mergeCell ref="A14:D14"/>
    <mergeCell ref="A15:B15"/>
    <mergeCell ref="A16:B16"/>
    <mergeCell ref="A17:B17"/>
  </mergeCells>
  <pageMargins left="0.28958333333333303" right="0.18888888888888899" top="1.4513888888888899" bottom="0.48680555555555599" header="0.51180555555555496" footer="9.30555555555556E-2"/>
  <pageSetup paperSize="77" firstPageNumber="0" pageOrder="overThenDown" orientation="portrait" horizontalDpi="300" verticalDpi="300" r:id="rId1"/>
  <headerFooter>
    <oddFooter>&amp;C&amp;10Page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AD5A4-6FA0-468C-AD4A-A9308C022536}">
  <dimension ref="A1:J22"/>
  <sheetViews>
    <sheetView topLeftCell="A3" workbookViewId="0">
      <selection activeCell="C4" sqref="C4"/>
    </sheetView>
  </sheetViews>
  <sheetFormatPr defaultRowHeight="14.25"/>
  <cols>
    <col min="1" max="1" width="15.75" customWidth="1"/>
    <col min="3" max="3" width="11.5" bestFit="1" customWidth="1"/>
    <col min="4" max="4" width="27.625" customWidth="1"/>
  </cols>
  <sheetData>
    <row r="1" spans="1:10" ht="44.25" customHeight="1">
      <c r="A1" s="238" t="s">
        <v>269</v>
      </c>
      <c r="B1" s="238"/>
      <c r="C1" s="238"/>
      <c r="D1" s="238"/>
      <c r="E1" s="2"/>
      <c r="F1" s="1"/>
      <c r="G1" s="1"/>
      <c r="H1" s="1"/>
      <c r="I1" s="196"/>
      <c r="J1" s="196"/>
    </row>
    <row r="2" spans="1:10" ht="18.75">
      <c r="A2" s="239" t="s">
        <v>0</v>
      </c>
      <c r="B2" s="239"/>
      <c r="C2" s="239"/>
      <c r="D2" s="239"/>
      <c r="E2" s="4" t="s">
        <v>1</v>
      </c>
      <c r="F2" s="1"/>
      <c r="G2" s="234"/>
      <c r="H2" s="234"/>
      <c r="I2" s="234"/>
      <c r="J2" s="234"/>
    </row>
    <row r="3" spans="1:10" ht="60">
      <c r="A3" s="197" t="s">
        <v>2</v>
      </c>
      <c r="B3" s="197" t="s">
        <v>3</v>
      </c>
      <c r="C3" s="197" t="s">
        <v>4</v>
      </c>
      <c r="D3" s="197" t="s">
        <v>5</v>
      </c>
      <c r="E3" s="6" t="s">
        <v>6</v>
      </c>
      <c r="F3" s="1"/>
      <c r="G3" s="240"/>
      <c r="H3" s="240"/>
      <c r="I3" s="240"/>
      <c r="J3" s="196"/>
    </row>
    <row r="4" spans="1:10" ht="34.5" customHeight="1">
      <c r="A4" s="204" t="str">
        <f>'PCFP-CUSTOS_FIXOS-Equipe_Reside'!A19</f>
        <v>Técnico eletrônico -DCA</v>
      </c>
      <c r="B4" s="8">
        <v>1</v>
      </c>
      <c r="C4" s="9">
        <f>'PCFP-CUSTOS_FIXOS-Equipe_Reside'!G135</f>
        <v>569.18190366932549</v>
      </c>
      <c r="D4" s="9">
        <f>C4*B4</f>
        <v>569.18190366932549</v>
      </c>
      <c r="E4" s="10"/>
      <c r="F4" s="1"/>
      <c r="G4" s="1"/>
      <c r="H4" s="1"/>
      <c r="I4" s="196"/>
      <c r="J4" s="196"/>
    </row>
    <row r="5" spans="1:10" ht="15">
      <c r="A5" s="230" t="s">
        <v>7</v>
      </c>
      <c r="B5" s="230"/>
      <c r="C5" s="230"/>
      <c r="D5" s="11">
        <f>D4</f>
        <v>569.18190366932549</v>
      </c>
      <c r="E5" s="12"/>
      <c r="F5" s="1"/>
      <c r="G5" s="1"/>
      <c r="H5" s="1"/>
      <c r="I5" s="196"/>
      <c r="J5" s="196"/>
    </row>
    <row r="6" spans="1:10" ht="18.75">
      <c r="A6" s="225" t="s">
        <v>8</v>
      </c>
      <c r="B6" s="225"/>
      <c r="C6" s="225"/>
      <c r="D6" s="225"/>
      <c r="E6" s="2"/>
      <c r="F6" s="1"/>
      <c r="G6" s="1"/>
      <c r="H6" s="1"/>
      <c r="I6" s="1"/>
      <c r="J6" s="196"/>
    </row>
    <row r="7" spans="1:10" ht="15">
      <c r="A7" s="226" t="s">
        <v>9</v>
      </c>
      <c r="B7" s="226"/>
      <c r="C7" s="226"/>
      <c r="D7" s="13" t="s">
        <v>10</v>
      </c>
      <c r="E7" s="6"/>
      <c r="F7" s="1"/>
      <c r="G7" s="1"/>
      <c r="H7" s="1"/>
      <c r="I7" s="196"/>
      <c r="J7" s="196"/>
    </row>
    <row r="8" spans="1:10" ht="15.75">
      <c r="A8" s="227" t="s">
        <v>267</v>
      </c>
      <c r="B8" s="227"/>
      <c r="C8" s="227"/>
      <c r="D8" s="14">
        <v>0</v>
      </c>
      <c r="E8" s="6"/>
      <c r="F8" s="1"/>
      <c r="G8" s="1"/>
      <c r="H8" s="1"/>
      <c r="I8" s="196"/>
      <c r="J8" s="196"/>
    </row>
    <row r="9" spans="1:10" ht="15">
      <c r="A9" s="228" t="s">
        <v>284</v>
      </c>
      <c r="B9" s="228"/>
      <c r="C9" s="228"/>
      <c r="D9" s="9">
        <f>(D4*0.15)*(1-D8)*(1+LDI!C20)</f>
        <v>97.333803741829513</v>
      </c>
      <c r="E9" s="10">
        <f>D9/C16</f>
        <v>0.14603377333729808</v>
      </c>
      <c r="F9" s="17"/>
      <c r="G9" s="1"/>
      <c r="H9" s="196"/>
      <c r="I9" s="196"/>
      <c r="J9" s="196"/>
    </row>
    <row r="10" spans="1:10" ht="15">
      <c r="A10" s="230" t="s">
        <v>11</v>
      </c>
      <c r="B10" s="230"/>
      <c r="C10" s="230"/>
      <c r="D10" s="11">
        <f>SUM(D9:D9)</f>
        <v>97.333803741829513</v>
      </c>
      <c r="E10" s="12"/>
      <c r="F10" s="1"/>
      <c r="G10" s="1"/>
      <c r="H10" s="1"/>
      <c r="I10" s="196"/>
      <c r="J10" s="196"/>
    </row>
    <row r="11" spans="1:10" ht="15">
      <c r="A11" s="19"/>
      <c r="B11" s="20"/>
      <c r="C11" s="20"/>
      <c r="D11" s="21"/>
      <c r="E11" s="22"/>
      <c r="F11" s="1"/>
      <c r="G11" s="118"/>
      <c r="H11" s="1"/>
      <c r="I11" s="196"/>
      <c r="J11" s="196"/>
    </row>
    <row r="12" spans="1:10" ht="18.75">
      <c r="A12" s="231" t="s">
        <v>277</v>
      </c>
      <c r="B12" s="231"/>
      <c r="C12" s="231"/>
      <c r="D12" s="231"/>
      <c r="E12" s="6"/>
      <c r="F12" s="1"/>
      <c r="G12" s="118"/>
      <c r="H12" s="1"/>
      <c r="I12" s="196"/>
      <c r="J12" s="196"/>
    </row>
    <row r="13" spans="1:10" ht="60">
      <c r="A13" s="232" t="s">
        <v>12</v>
      </c>
      <c r="B13" s="232"/>
      <c r="C13" s="23" t="s">
        <v>13</v>
      </c>
      <c r="D13" s="23"/>
      <c r="E13" s="6" t="s">
        <v>6</v>
      </c>
      <c r="F13" s="24"/>
      <c r="G13" s="131"/>
      <c r="H13" s="24"/>
      <c r="I13" s="25"/>
      <c r="J13" s="25"/>
    </row>
    <row r="14" spans="1:10" ht="15">
      <c r="A14" s="233" t="s">
        <v>206</v>
      </c>
      <c r="B14" s="233"/>
      <c r="C14" s="26">
        <f>D5</f>
        <v>569.18190366932549</v>
      </c>
      <c r="D14" s="26"/>
      <c r="E14" s="10">
        <f>C14/C16</f>
        <v>0.85396622666270183</v>
      </c>
      <c r="F14" s="1"/>
      <c r="G14" s="1"/>
      <c r="H14" s="1"/>
      <c r="I14" s="196"/>
      <c r="J14" s="196"/>
    </row>
    <row r="15" spans="1:10" ht="15">
      <c r="A15" s="233" t="s">
        <v>14</v>
      </c>
      <c r="B15" s="233"/>
      <c r="C15" s="26">
        <f>D10</f>
        <v>97.333803741829513</v>
      </c>
      <c r="D15" s="26"/>
      <c r="E15" s="10">
        <f>C15/C16</f>
        <v>0.14603377333729808</v>
      </c>
      <c r="F15" s="1"/>
      <c r="G15" s="1"/>
      <c r="H15" s="1"/>
      <c r="I15" s="196"/>
      <c r="J15" s="196"/>
    </row>
    <row r="16" spans="1:10" ht="17.25">
      <c r="A16" s="229" t="s">
        <v>15</v>
      </c>
      <c r="B16" s="229"/>
      <c r="C16" s="115">
        <f>C14+C15</f>
        <v>666.51570741115506</v>
      </c>
      <c r="D16" s="115"/>
      <c r="E16" s="27"/>
      <c r="F16" s="1"/>
      <c r="G16" s="1"/>
      <c r="H16" s="1"/>
      <c r="I16" s="196"/>
      <c r="J16" s="196"/>
    </row>
    <row r="17" spans="1:10" ht="15">
      <c r="A17" s="1"/>
      <c r="B17" s="1"/>
      <c r="C17" s="1"/>
      <c r="D17" s="1"/>
      <c r="E17" s="2"/>
      <c r="F17" s="1"/>
      <c r="G17" s="1"/>
      <c r="H17" s="1"/>
      <c r="I17" s="196"/>
      <c r="J17" s="196"/>
    </row>
    <row r="18" spans="1:10" ht="30">
      <c r="A18" s="123" t="s">
        <v>201</v>
      </c>
      <c r="B18" s="124" t="s">
        <v>202</v>
      </c>
      <c r="C18" s="125" t="s">
        <v>203</v>
      </c>
      <c r="D18" s="126" t="s">
        <v>204</v>
      </c>
      <c r="E18" s="2"/>
      <c r="F18" s="1"/>
      <c r="G18" s="1"/>
      <c r="H18" s="1"/>
      <c r="I18" s="196"/>
      <c r="J18" s="196"/>
    </row>
    <row r="19" spans="1:10" ht="15">
      <c r="A19" s="122" t="s">
        <v>278</v>
      </c>
      <c r="B19" s="139">
        <v>12</v>
      </c>
      <c r="C19" s="120">
        <f>C16</f>
        <v>666.51570741115506</v>
      </c>
      <c r="D19" s="121">
        <f>B19*C19</f>
        <v>7998.1884889338608</v>
      </c>
      <c r="E19" s="2"/>
      <c r="F19" s="1"/>
      <c r="G19" s="1"/>
      <c r="H19" s="1"/>
      <c r="I19" s="196"/>
      <c r="J19" s="196"/>
    </row>
    <row r="20" spans="1:10" ht="15">
      <c r="A20" s="127" t="s">
        <v>205</v>
      </c>
      <c r="B20" s="128"/>
      <c r="C20" s="129">
        <f>SUM(C19:C19)</f>
        <v>666.51570741115506</v>
      </c>
      <c r="D20" s="130">
        <f>SUM(D19:D19)</f>
        <v>7998.1884889338608</v>
      </c>
      <c r="E20" s="2"/>
      <c r="F20" s="1"/>
      <c r="G20" s="1"/>
      <c r="H20" s="1"/>
      <c r="I20" s="196"/>
      <c r="J20" s="196"/>
    </row>
    <row r="21" spans="1:10" ht="15">
      <c r="A21" s="1"/>
      <c r="B21" s="1"/>
      <c r="C21" s="1"/>
      <c r="D21" s="1"/>
      <c r="E21" s="2"/>
      <c r="F21" s="1"/>
      <c r="G21" s="1"/>
      <c r="H21" s="1"/>
      <c r="I21" s="196"/>
      <c r="J21" s="196"/>
    </row>
    <row r="22" spans="1:10" ht="15">
      <c r="A22" s="1"/>
      <c r="B22" s="1"/>
      <c r="C22" s="1"/>
      <c r="D22" s="1"/>
      <c r="E22" s="2"/>
      <c r="F22" s="1"/>
      <c r="G22" s="1"/>
      <c r="H22" s="1"/>
      <c r="I22" s="196"/>
      <c r="J22" s="196"/>
    </row>
  </sheetData>
  <mergeCells count="15">
    <mergeCell ref="A13:B13"/>
    <mergeCell ref="A14:B14"/>
    <mergeCell ref="A15:B15"/>
    <mergeCell ref="A16:B16"/>
    <mergeCell ref="A7:C7"/>
    <mergeCell ref="A8:C8"/>
    <mergeCell ref="A9:C9"/>
    <mergeCell ref="A10:C10"/>
    <mergeCell ref="A12:D12"/>
    <mergeCell ref="A6:D6"/>
    <mergeCell ref="A1:D1"/>
    <mergeCell ref="A2:D2"/>
    <mergeCell ref="G2:J2"/>
    <mergeCell ref="G3:I3"/>
    <mergeCell ref="A5:C5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I137"/>
  <sheetViews>
    <sheetView tabSelected="1" topLeftCell="A26" zoomScaleNormal="100" workbookViewId="0">
      <selection activeCell="I150" sqref="I150"/>
    </sheetView>
  </sheetViews>
  <sheetFormatPr defaultRowHeight="15"/>
  <cols>
    <col min="1" max="1" width="3.25" style="28" customWidth="1"/>
    <col min="2" max="2" width="32.375" style="28" customWidth="1"/>
    <col min="3" max="3" width="9.375" style="28" customWidth="1"/>
    <col min="4" max="7" width="11.5" style="28" customWidth="1"/>
    <col min="8" max="8" width="3.875" style="29" customWidth="1"/>
    <col min="9" max="9" width="38.625" style="30" customWidth="1"/>
    <col min="10" max="10" width="6.75" style="31" customWidth="1"/>
    <col min="11" max="11" width="6.75" style="32" customWidth="1"/>
    <col min="12" max="12" width="9.375" style="29" customWidth="1"/>
    <col min="13" max="13" width="10.25" style="29" customWidth="1"/>
    <col min="14" max="14" width="8.5" style="29" bestFit="1" customWidth="1"/>
    <col min="15" max="16" width="6.75" style="29" customWidth="1"/>
    <col min="17" max="17" width="8" style="29" customWidth="1"/>
    <col min="18" max="253" width="9.375" style="29" customWidth="1"/>
    <col min="254" max="1019" width="9.375" customWidth="1"/>
    <col min="1020" max="1020" width="7.625" customWidth="1"/>
    <col min="1021" max="1021" width="9.375" customWidth="1"/>
    <col min="1022" max="1022" width="7.625" customWidth="1"/>
    <col min="1023" max="1024" width="7.875" customWidth="1"/>
  </cols>
  <sheetData>
    <row r="1" spans="1:253" ht="15.95" customHeight="1">
      <c r="A1" s="273" t="s">
        <v>256</v>
      </c>
      <c r="B1" s="273"/>
      <c r="C1" s="273"/>
      <c r="D1" s="273"/>
      <c r="E1" s="273"/>
      <c r="F1" s="273"/>
      <c r="G1" s="173"/>
      <c r="H1" s="32"/>
      <c r="I1" s="33"/>
      <c r="J1" s="34"/>
      <c r="K1" s="35"/>
      <c r="L1" s="35"/>
      <c r="M1" s="35"/>
    </row>
    <row r="2" spans="1:253" ht="15.95" customHeight="1">
      <c r="A2" s="274" t="s">
        <v>286</v>
      </c>
      <c r="B2" s="274"/>
      <c r="C2" s="274"/>
      <c r="D2" s="274"/>
      <c r="E2" s="274"/>
      <c r="F2" s="274"/>
      <c r="G2" s="174"/>
      <c r="H2" s="32"/>
      <c r="I2" s="33"/>
      <c r="J2" s="34"/>
      <c r="K2" s="35"/>
      <c r="L2" s="35"/>
      <c r="M2" s="35"/>
    </row>
    <row r="3" spans="1:253" ht="36" customHeight="1">
      <c r="A3" s="274"/>
      <c r="B3" s="274"/>
      <c r="C3" s="274"/>
      <c r="D3" s="274"/>
      <c r="E3" s="274"/>
      <c r="F3" s="274"/>
      <c r="G3" s="174"/>
      <c r="H3" s="32"/>
      <c r="I3" s="275" t="s">
        <v>16</v>
      </c>
      <c r="J3" s="275"/>
      <c r="K3" s="275"/>
      <c r="L3" s="275"/>
      <c r="M3" s="275"/>
    </row>
    <row r="4" spans="1:253" ht="36" customHeight="1">
      <c r="A4" s="258"/>
      <c r="B4" s="258"/>
      <c r="C4" s="258"/>
      <c r="D4" s="258"/>
      <c r="E4" s="258"/>
      <c r="F4" s="258"/>
      <c r="G4" s="175"/>
      <c r="H4" s="32"/>
      <c r="I4" s="36" t="s">
        <v>17</v>
      </c>
      <c r="J4" s="145" t="s">
        <v>265</v>
      </c>
      <c r="K4" s="37" t="s">
        <v>226</v>
      </c>
      <c r="L4" s="38" t="s">
        <v>18</v>
      </c>
      <c r="M4" s="38" t="s">
        <v>225</v>
      </c>
      <c r="N4" s="38" t="s">
        <v>19</v>
      </c>
      <c r="O4" s="160"/>
      <c r="P4" s="160"/>
      <c r="Q4" s="160"/>
      <c r="R4" s="160"/>
    </row>
    <row r="5" spans="1:253" ht="17.45" customHeight="1">
      <c r="A5" s="276" t="s">
        <v>271</v>
      </c>
      <c r="B5" s="276"/>
      <c r="C5" s="259"/>
      <c r="D5" s="259"/>
      <c r="E5" s="259"/>
      <c r="F5" s="259"/>
      <c r="G5" s="138"/>
      <c r="H5" s="32"/>
      <c r="I5" s="208" t="s">
        <v>20</v>
      </c>
      <c r="J5" s="40">
        <v>12</v>
      </c>
      <c r="K5" s="41">
        <v>2</v>
      </c>
      <c r="L5" s="211"/>
      <c r="M5" s="212">
        <f>K5*L5</f>
        <v>0</v>
      </c>
      <c r="N5" s="211">
        <f>M5/J5</f>
        <v>0</v>
      </c>
      <c r="O5" s="160"/>
      <c r="P5" s="160"/>
      <c r="Q5" s="160"/>
      <c r="R5" s="43"/>
    </row>
    <row r="6" spans="1:253" ht="17.100000000000001" customHeight="1">
      <c r="A6" s="276" t="s">
        <v>207</v>
      </c>
      <c r="B6" s="276"/>
      <c r="C6" s="259"/>
      <c r="D6" s="259"/>
      <c r="E6" s="259"/>
      <c r="F6" s="259"/>
      <c r="G6" s="138"/>
      <c r="I6" s="208" t="s">
        <v>21</v>
      </c>
      <c r="J6" s="40">
        <v>12</v>
      </c>
      <c r="K6" s="41">
        <v>2</v>
      </c>
      <c r="L6" s="211"/>
      <c r="M6" s="212">
        <f t="shared" ref="M6:M8" si="0">K6*L6</f>
        <v>0</v>
      </c>
      <c r="N6" s="211">
        <f t="shared" ref="N6:N8" si="1">M6/J6</f>
        <v>0</v>
      </c>
      <c r="O6" s="160"/>
      <c r="P6" s="160"/>
      <c r="Q6" s="160"/>
      <c r="R6" s="43"/>
    </row>
    <row r="7" spans="1:253" ht="15" customHeight="1">
      <c r="A7" s="258"/>
      <c r="B7" s="258"/>
      <c r="C7" s="258"/>
      <c r="D7" s="258"/>
      <c r="E7" s="258"/>
      <c r="F7" s="258"/>
      <c r="G7" s="175"/>
      <c r="I7" s="208" t="s">
        <v>22</v>
      </c>
      <c r="J7" s="40">
        <v>36</v>
      </c>
      <c r="K7" s="41">
        <v>1</v>
      </c>
      <c r="L7" s="211"/>
      <c r="M7" s="212">
        <f t="shared" si="0"/>
        <v>0</v>
      </c>
      <c r="N7" s="211">
        <f t="shared" si="1"/>
        <v>0</v>
      </c>
      <c r="O7" s="160"/>
      <c r="P7" s="160"/>
      <c r="Q7" s="160"/>
      <c r="R7" s="43"/>
    </row>
    <row r="8" spans="1:253" ht="15.95" customHeight="1">
      <c r="A8" s="276" t="s">
        <v>23</v>
      </c>
      <c r="B8" s="276"/>
      <c r="C8" s="44">
        <v>45152</v>
      </c>
      <c r="D8" s="246" t="s">
        <v>259</v>
      </c>
      <c r="E8" s="247"/>
      <c r="F8" s="248"/>
      <c r="G8" s="176"/>
      <c r="H8" s="45"/>
      <c r="I8" s="208" t="s">
        <v>24</v>
      </c>
      <c r="J8" s="40">
        <v>36</v>
      </c>
      <c r="K8" s="41">
        <v>1</v>
      </c>
      <c r="L8" s="211"/>
      <c r="M8" s="212">
        <f t="shared" si="0"/>
        <v>0</v>
      </c>
      <c r="N8" s="211">
        <f t="shared" si="1"/>
        <v>0</v>
      </c>
      <c r="O8" s="160"/>
      <c r="P8" s="160"/>
      <c r="Q8" s="160"/>
      <c r="R8" s="43"/>
    </row>
    <row r="9" spans="1:253" s="171" customFormat="1" ht="15.95" customHeight="1">
      <c r="A9" s="170"/>
      <c r="B9" s="170"/>
      <c r="C9" s="44">
        <v>44959</v>
      </c>
      <c r="D9" s="246" t="s">
        <v>258</v>
      </c>
      <c r="E9" s="247"/>
      <c r="F9" s="248"/>
      <c r="G9" s="176"/>
      <c r="H9" s="45"/>
      <c r="I9" s="208" t="s">
        <v>26</v>
      </c>
      <c r="J9" s="40">
        <v>12</v>
      </c>
      <c r="K9" s="41">
        <v>3</v>
      </c>
      <c r="L9" s="211"/>
      <c r="M9" s="212">
        <f t="shared" ref="M9:M18" si="2">K9*L9</f>
        <v>0</v>
      </c>
      <c r="N9" s="211">
        <f t="shared" ref="N9:N18" si="3">M9/J9</f>
        <v>0</v>
      </c>
      <c r="O9" s="160"/>
      <c r="P9" s="160"/>
      <c r="Q9" s="160"/>
      <c r="R9" s="4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29"/>
      <c r="IQ9" s="29"/>
      <c r="IR9" s="29"/>
      <c r="IS9" s="29"/>
    </row>
    <row r="10" spans="1:253" ht="15.95" customHeight="1">
      <c r="A10" s="276" t="s">
        <v>25</v>
      </c>
      <c r="B10" s="276"/>
      <c r="C10" s="46">
        <v>2023</v>
      </c>
      <c r="D10" s="243" t="s">
        <v>257</v>
      </c>
      <c r="E10" s="244"/>
      <c r="F10" s="245"/>
      <c r="G10" s="177"/>
      <c r="H10" s="45"/>
      <c r="I10" s="208" t="s">
        <v>27</v>
      </c>
      <c r="J10" s="40">
        <v>12</v>
      </c>
      <c r="K10" s="41">
        <v>1</v>
      </c>
      <c r="L10" s="211"/>
      <c r="M10" s="212">
        <f t="shared" si="2"/>
        <v>0</v>
      </c>
      <c r="N10" s="211">
        <f t="shared" si="3"/>
        <v>0</v>
      </c>
      <c r="O10" s="160"/>
      <c r="P10" s="160"/>
      <c r="Q10" s="160"/>
      <c r="R10" s="43"/>
    </row>
    <row r="11" spans="1:253" s="171" customFormat="1" ht="28.5" customHeight="1">
      <c r="A11" s="170"/>
      <c r="B11" s="170"/>
      <c r="C11" s="46">
        <v>2023</v>
      </c>
      <c r="D11" s="243" t="s">
        <v>260</v>
      </c>
      <c r="E11" s="244"/>
      <c r="F11" s="245"/>
      <c r="G11" s="177"/>
      <c r="H11" s="45"/>
      <c r="I11" s="208" t="s">
        <v>29</v>
      </c>
      <c r="J11" s="40">
        <v>12</v>
      </c>
      <c r="K11" s="41">
        <v>1</v>
      </c>
      <c r="L11" s="211"/>
      <c r="M11" s="212">
        <f t="shared" si="2"/>
        <v>0</v>
      </c>
      <c r="N11" s="211">
        <f t="shared" si="3"/>
        <v>0</v>
      </c>
      <c r="O11" s="160"/>
      <c r="P11" s="160"/>
      <c r="Q11" s="160"/>
      <c r="R11" s="4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  <c r="GY11" s="29"/>
      <c r="GZ11" s="29"/>
      <c r="HA11" s="29"/>
      <c r="HB11" s="29"/>
      <c r="HC11" s="29"/>
      <c r="HD11" s="29"/>
      <c r="HE11" s="29"/>
      <c r="HF11" s="29"/>
      <c r="HG11" s="29"/>
      <c r="HH11" s="29"/>
      <c r="HI11" s="29"/>
      <c r="HJ11" s="29"/>
      <c r="HK11" s="29"/>
      <c r="HL11" s="29"/>
      <c r="HM11" s="29"/>
      <c r="HN11" s="29"/>
      <c r="HO11" s="29"/>
      <c r="HP11" s="29"/>
      <c r="HQ11" s="29"/>
      <c r="HR11" s="29"/>
      <c r="HS11" s="29"/>
      <c r="HT11" s="29"/>
      <c r="HU11" s="29"/>
      <c r="HV11" s="29"/>
      <c r="HW11" s="29"/>
      <c r="HX11" s="29"/>
      <c r="HY11" s="29"/>
      <c r="HZ11" s="29"/>
      <c r="IA11" s="29"/>
      <c r="IB11" s="29"/>
      <c r="IC11" s="29"/>
      <c r="ID11" s="29"/>
      <c r="IE11" s="29"/>
      <c r="IF11" s="29"/>
      <c r="IG11" s="29"/>
      <c r="IH11" s="29"/>
      <c r="II11" s="29"/>
      <c r="IJ11" s="29"/>
      <c r="IK11" s="29"/>
      <c r="IL11" s="29"/>
      <c r="IM11" s="29"/>
      <c r="IN11" s="29"/>
      <c r="IO11" s="29"/>
      <c r="IP11" s="29"/>
      <c r="IQ11" s="29"/>
      <c r="IR11" s="29"/>
      <c r="IS11" s="29"/>
    </row>
    <row r="12" spans="1:253" ht="22.5" customHeight="1">
      <c r="A12" s="277"/>
      <c r="B12" s="277"/>
      <c r="C12" s="277"/>
      <c r="D12" s="277"/>
      <c r="E12" s="277"/>
      <c r="F12" s="277"/>
      <c r="G12" s="175"/>
      <c r="I12" s="208" t="s">
        <v>31</v>
      </c>
      <c r="J12" s="40">
        <v>12</v>
      </c>
      <c r="K12" s="41">
        <v>1</v>
      </c>
      <c r="L12" s="211"/>
      <c r="M12" s="212">
        <f t="shared" si="2"/>
        <v>0</v>
      </c>
      <c r="N12" s="211">
        <f t="shared" si="3"/>
        <v>0</v>
      </c>
      <c r="O12" s="160"/>
      <c r="P12" s="160"/>
      <c r="Q12" s="160"/>
      <c r="R12" s="43"/>
    </row>
    <row r="13" spans="1:253" ht="15.95" customHeight="1">
      <c r="A13" s="278" t="s">
        <v>28</v>
      </c>
      <c r="B13" s="278"/>
      <c r="C13" s="278"/>
      <c r="D13" s="278"/>
      <c r="E13" s="278"/>
      <c r="F13" s="278"/>
      <c r="G13" s="178"/>
      <c r="I13" s="208" t="s">
        <v>35</v>
      </c>
      <c r="J13" s="40">
        <v>60</v>
      </c>
      <c r="K13" s="41">
        <v>1</v>
      </c>
      <c r="L13" s="211"/>
      <c r="M13" s="212">
        <f t="shared" si="2"/>
        <v>0</v>
      </c>
      <c r="N13" s="211">
        <f t="shared" si="3"/>
        <v>0</v>
      </c>
      <c r="O13" s="160"/>
      <c r="P13" s="160"/>
      <c r="Q13" s="160"/>
      <c r="R13" s="43"/>
    </row>
    <row r="14" spans="1:253" ht="15.95" customHeight="1">
      <c r="A14" s="278" t="s">
        <v>30</v>
      </c>
      <c r="B14" s="278"/>
      <c r="C14" s="278"/>
      <c r="D14" s="278"/>
      <c r="E14" s="278"/>
      <c r="F14" s="278"/>
      <c r="G14" s="178"/>
      <c r="I14" s="209" t="s">
        <v>279</v>
      </c>
      <c r="J14" s="206">
        <v>12</v>
      </c>
      <c r="K14" s="207">
        <v>1</v>
      </c>
      <c r="L14" s="211"/>
      <c r="M14" s="211">
        <f t="shared" si="2"/>
        <v>0</v>
      </c>
      <c r="N14" s="211">
        <f t="shared" si="3"/>
        <v>0</v>
      </c>
      <c r="O14" s="160"/>
      <c r="P14" s="160"/>
      <c r="Q14" s="160"/>
      <c r="R14" s="43"/>
    </row>
    <row r="15" spans="1:253" ht="24" customHeight="1">
      <c r="A15" s="268" t="s">
        <v>32</v>
      </c>
      <c r="B15" s="268"/>
      <c r="C15" s="268"/>
      <c r="D15" s="48" t="s">
        <v>33</v>
      </c>
      <c r="E15" s="269" t="s">
        <v>34</v>
      </c>
      <c r="F15" s="269"/>
      <c r="G15" s="179"/>
      <c r="I15" s="208" t="s">
        <v>37</v>
      </c>
      <c r="J15" s="40">
        <v>12</v>
      </c>
      <c r="K15" s="41">
        <v>1</v>
      </c>
      <c r="L15" s="211"/>
      <c r="M15" s="212">
        <f t="shared" si="2"/>
        <v>0</v>
      </c>
      <c r="N15" s="211">
        <f t="shared" si="3"/>
        <v>0</v>
      </c>
      <c r="O15" s="160"/>
      <c r="P15" s="160"/>
      <c r="Q15" s="160"/>
      <c r="R15" s="43"/>
    </row>
    <row r="16" spans="1:253" ht="15.95" customHeight="1">
      <c r="A16" s="267" t="s">
        <v>210</v>
      </c>
      <c r="B16" s="267"/>
      <c r="C16" s="267"/>
      <c r="D16" s="42">
        <v>1</v>
      </c>
      <c r="E16" s="267" t="s">
        <v>211</v>
      </c>
      <c r="F16" s="267"/>
      <c r="G16" s="160"/>
      <c r="I16" s="213" t="s">
        <v>39</v>
      </c>
      <c r="J16" s="40">
        <v>10</v>
      </c>
      <c r="K16" s="41">
        <v>4</v>
      </c>
      <c r="L16" s="211"/>
      <c r="M16" s="212">
        <f t="shared" si="2"/>
        <v>0</v>
      </c>
      <c r="N16" s="211">
        <f t="shared" si="3"/>
        <v>0</v>
      </c>
      <c r="O16" s="160"/>
      <c r="P16" s="160"/>
      <c r="Q16" s="160"/>
      <c r="R16" s="43"/>
    </row>
    <row r="17" spans="1:253" ht="15.95" customHeight="1">
      <c r="A17" s="267" t="s">
        <v>36</v>
      </c>
      <c r="B17" s="267"/>
      <c r="C17" s="267"/>
      <c r="D17" s="42">
        <v>1</v>
      </c>
      <c r="E17" s="267" t="s">
        <v>227</v>
      </c>
      <c r="F17" s="267"/>
      <c r="G17" s="160"/>
      <c r="I17" s="208" t="s">
        <v>40</v>
      </c>
      <c r="J17" s="40">
        <v>12</v>
      </c>
      <c r="K17" s="41">
        <v>1</v>
      </c>
      <c r="L17" s="211"/>
      <c r="M17" s="212">
        <f t="shared" si="2"/>
        <v>0</v>
      </c>
      <c r="N17" s="211">
        <f t="shared" si="3"/>
        <v>0</v>
      </c>
      <c r="O17" s="160"/>
      <c r="P17" s="160"/>
      <c r="Q17" s="160"/>
      <c r="R17" s="43"/>
    </row>
    <row r="18" spans="1:253" s="147" customFormat="1" ht="15.95" customHeight="1">
      <c r="A18" s="246" t="s">
        <v>255</v>
      </c>
      <c r="B18" s="247"/>
      <c r="C18" s="248"/>
      <c r="D18" s="146">
        <v>1</v>
      </c>
      <c r="E18" s="246" t="s">
        <v>228</v>
      </c>
      <c r="F18" s="248"/>
      <c r="G18" s="160"/>
      <c r="H18" s="29"/>
      <c r="I18" s="208" t="s">
        <v>212</v>
      </c>
      <c r="J18" s="40">
        <v>12</v>
      </c>
      <c r="K18" s="41">
        <v>1</v>
      </c>
      <c r="L18" s="211"/>
      <c r="M18" s="212">
        <f t="shared" si="2"/>
        <v>0</v>
      </c>
      <c r="N18" s="211">
        <f t="shared" si="3"/>
        <v>0</v>
      </c>
      <c r="O18" s="160"/>
      <c r="P18" s="160"/>
      <c r="Q18" s="160"/>
      <c r="R18" s="4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</row>
    <row r="19" spans="1:253" s="161" customFormat="1" ht="15.95" customHeight="1">
      <c r="A19" s="246" t="s">
        <v>280</v>
      </c>
      <c r="B19" s="247"/>
      <c r="C19" s="248"/>
      <c r="D19" s="164">
        <v>1</v>
      </c>
      <c r="E19" s="246" t="s">
        <v>281</v>
      </c>
      <c r="F19" s="248"/>
      <c r="G19" s="160"/>
      <c r="H19" s="29"/>
      <c r="I19" s="210" t="s">
        <v>42</v>
      </c>
      <c r="J19" s="214"/>
      <c r="K19" s="41"/>
      <c r="L19" s="211"/>
      <c r="M19" s="212"/>
      <c r="N19" s="211">
        <f>SUM(N5:N18)</f>
        <v>0</v>
      </c>
      <c r="O19" s="160"/>
      <c r="P19" s="160"/>
      <c r="Q19" s="160"/>
      <c r="R19" s="4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</row>
    <row r="20" spans="1:253" ht="15.95" customHeight="1">
      <c r="A20" s="270" t="s">
        <v>38</v>
      </c>
      <c r="B20" s="270"/>
      <c r="C20" s="270"/>
      <c r="D20" s="49">
        <f>SUM(D16:D19)</f>
        <v>4</v>
      </c>
      <c r="E20" s="259"/>
      <c r="F20" s="259"/>
      <c r="G20" s="138"/>
      <c r="O20" s="160"/>
      <c r="P20" s="160"/>
      <c r="Q20" s="160"/>
      <c r="R20" s="43"/>
    </row>
    <row r="21" spans="1:253" ht="15" customHeight="1">
      <c r="A21" s="258"/>
      <c r="B21" s="258"/>
      <c r="C21" s="258"/>
      <c r="D21" s="258"/>
      <c r="E21" s="258"/>
      <c r="F21" s="258"/>
      <c r="G21" s="175"/>
      <c r="I21" s="198"/>
      <c r="J21" s="198"/>
      <c r="K21" s="156"/>
      <c r="L21" s="199"/>
      <c r="M21" s="200"/>
      <c r="N21" s="199"/>
      <c r="O21" s="160"/>
      <c r="P21" s="160"/>
      <c r="Q21" s="138"/>
      <c r="R21" s="43"/>
    </row>
    <row r="22" spans="1:253" s="141" customFormat="1" ht="15" customHeight="1">
      <c r="A22" s="140"/>
      <c r="B22" s="140"/>
      <c r="C22" s="140"/>
      <c r="D22" s="140"/>
      <c r="E22" s="140"/>
      <c r="F22" s="140"/>
      <c r="G22" s="175"/>
      <c r="H22" s="29"/>
      <c r="I22" s="148"/>
      <c r="J22" s="149"/>
      <c r="K22" s="150"/>
      <c r="L22" s="151"/>
      <c r="M22" s="203"/>
      <c r="N22" s="152"/>
      <c r="O22" s="160"/>
      <c r="P22" s="160"/>
      <c r="Q22" s="160"/>
      <c r="R22" s="4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</row>
    <row r="23" spans="1:253" ht="15.95" customHeight="1">
      <c r="A23" s="252" t="s">
        <v>41</v>
      </c>
      <c r="B23" s="252"/>
      <c r="C23" s="252"/>
      <c r="D23" s="252"/>
      <c r="E23" s="252"/>
      <c r="F23" s="252"/>
      <c r="G23" s="180"/>
      <c r="I23" s="148"/>
      <c r="J23" s="149"/>
      <c r="K23" s="150"/>
      <c r="L23" s="151"/>
      <c r="M23" s="151"/>
      <c r="N23" s="152"/>
      <c r="O23" s="144"/>
      <c r="P23" s="144"/>
      <c r="Q23" s="144"/>
    </row>
    <row r="24" spans="1:253" ht="15" customHeight="1">
      <c r="A24" s="258"/>
      <c r="B24" s="258"/>
      <c r="C24" s="258"/>
      <c r="D24" s="258"/>
      <c r="E24" s="258"/>
      <c r="F24" s="258"/>
      <c r="G24" s="175"/>
      <c r="I24" s="201"/>
      <c r="J24" s="202"/>
      <c r="K24" s="143"/>
      <c r="L24" s="144"/>
      <c r="M24" s="144"/>
      <c r="N24" s="144"/>
      <c r="O24" s="144"/>
    </row>
    <row r="25" spans="1:253" ht="15.95" customHeight="1">
      <c r="A25" s="252" t="s">
        <v>43</v>
      </c>
      <c r="B25" s="252"/>
      <c r="C25" s="252"/>
      <c r="D25" s="252"/>
      <c r="E25" s="252"/>
      <c r="F25" s="252"/>
      <c r="G25" s="167"/>
    </row>
    <row r="26" spans="1:253" ht="35.85" customHeight="1">
      <c r="A26" s="42">
        <v>1</v>
      </c>
      <c r="B26" s="39" t="s">
        <v>44</v>
      </c>
      <c r="C26" s="47"/>
      <c r="D26" s="37" t="str">
        <f>A18</f>
        <v>Eletricista Predial-Foz</v>
      </c>
      <c r="E26" s="37" t="str">
        <f>A16</f>
        <v>Tecnico eletrônico - Foz</v>
      </c>
      <c r="F26" s="37" t="str">
        <f>A17</f>
        <v>Oficial de Manutenção – FOZ</v>
      </c>
      <c r="G26" s="37" t="s">
        <v>282</v>
      </c>
      <c r="I26" s="51"/>
      <c r="J26" s="51"/>
      <c r="K26" s="45"/>
    </row>
    <row r="27" spans="1:253" ht="15" customHeight="1">
      <c r="A27" s="42">
        <v>2</v>
      </c>
      <c r="B27" s="39" t="s">
        <v>45</v>
      </c>
      <c r="C27" s="37"/>
      <c r="D27" s="42" t="s">
        <v>46</v>
      </c>
      <c r="E27" s="42" t="s">
        <v>209</v>
      </c>
      <c r="F27" s="205" t="s">
        <v>208</v>
      </c>
      <c r="G27" s="169" t="s">
        <v>46</v>
      </c>
      <c r="I27" s="51"/>
      <c r="J27" s="51"/>
      <c r="K27" s="45"/>
    </row>
    <row r="28" spans="1:253" ht="15" customHeight="1">
      <c r="A28" s="267">
        <v>3</v>
      </c>
      <c r="B28" s="39" t="s">
        <v>47</v>
      </c>
      <c r="C28" s="42">
        <v>40</v>
      </c>
      <c r="D28" s="42">
        <f>C28</f>
        <v>40</v>
      </c>
      <c r="E28" s="42">
        <f>C28</f>
        <v>40</v>
      </c>
      <c r="F28" s="42">
        <f>D28</f>
        <v>40</v>
      </c>
      <c r="G28" s="169">
        <v>40</v>
      </c>
      <c r="I28" s="52"/>
      <c r="J28" s="51"/>
      <c r="K28" s="45"/>
      <c r="L28" s="45"/>
      <c r="M28" s="45"/>
    </row>
    <row r="29" spans="1:253" ht="15" customHeight="1">
      <c r="A29" s="267"/>
      <c r="B29" s="39" t="s">
        <v>48</v>
      </c>
      <c r="C29" s="42">
        <v>220</v>
      </c>
      <c r="D29" s="42">
        <f>C29</f>
        <v>220</v>
      </c>
      <c r="E29" s="42">
        <f>C29</f>
        <v>220</v>
      </c>
      <c r="F29" s="42">
        <f>D29</f>
        <v>220</v>
      </c>
      <c r="G29" s="169">
        <v>220</v>
      </c>
      <c r="I29" s="51"/>
      <c r="J29" s="51"/>
      <c r="K29" s="45"/>
      <c r="L29" s="45"/>
      <c r="M29" s="45"/>
    </row>
    <row r="30" spans="1:253" ht="36" customHeight="1">
      <c r="A30" s="267"/>
      <c r="B30" s="39" t="s">
        <v>49</v>
      </c>
      <c r="C30" s="39"/>
      <c r="D30" s="53"/>
      <c r="E30" s="53"/>
      <c r="F30" s="53"/>
      <c r="G30" s="53"/>
      <c r="I30" s="54" t="s">
        <v>237</v>
      </c>
      <c r="J30" s="55" t="s">
        <v>264</v>
      </c>
      <c r="K30" s="38" t="s">
        <v>238</v>
      </c>
      <c r="L30" s="38" t="s">
        <v>239</v>
      </c>
      <c r="M30" s="38" t="s">
        <v>19</v>
      </c>
      <c r="N30" s="38"/>
      <c r="O30" s="38"/>
      <c r="P30" s="38"/>
      <c r="Q30" s="38"/>
    </row>
    <row r="31" spans="1:253" ht="15" customHeight="1">
      <c r="A31" s="267"/>
      <c r="B31" s="39" t="s">
        <v>50</v>
      </c>
      <c r="C31" s="42" t="s">
        <v>51</v>
      </c>
      <c r="D31" s="56"/>
      <c r="E31" s="56"/>
      <c r="F31" s="56"/>
      <c r="G31" s="56"/>
      <c r="H31" s="57"/>
      <c r="I31" s="58" t="s">
        <v>54</v>
      </c>
      <c r="J31" s="158">
        <v>2</v>
      </c>
      <c r="K31" s="59"/>
      <c r="L31" s="41">
        <v>60</v>
      </c>
      <c r="M31" s="60">
        <f>(J31*K31)/L31</f>
        <v>0</v>
      </c>
      <c r="N31" s="50"/>
      <c r="O31" s="50"/>
      <c r="P31" s="50"/>
      <c r="Q31" s="50"/>
    </row>
    <row r="32" spans="1:253" ht="15" customHeight="1">
      <c r="A32" s="42">
        <v>4</v>
      </c>
      <c r="B32" s="39" t="s">
        <v>52</v>
      </c>
      <c r="C32" s="47"/>
      <c r="D32" s="61">
        <v>45078</v>
      </c>
      <c r="E32" s="61">
        <v>45078</v>
      </c>
      <c r="F32" s="61">
        <v>45078</v>
      </c>
      <c r="G32" s="61">
        <v>44927</v>
      </c>
      <c r="I32" s="62" t="s">
        <v>56</v>
      </c>
      <c r="J32" s="158">
        <v>2</v>
      </c>
      <c r="K32" s="116"/>
      <c r="L32" s="41">
        <v>60</v>
      </c>
      <c r="M32" s="60">
        <f t="shared" ref="M32:M73" si="4">(J32*K32)/L32</f>
        <v>0</v>
      </c>
      <c r="N32" s="50"/>
      <c r="O32" s="63"/>
      <c r="P32" s="63"/>
      <c r="Q32" s="50"/>
    </row>
    <row r="33" spans="1:1023" ht="15" customHeight="1">
      <c r="A33" s="42">
        <v>5</v>
      </c>
      <c r="B33" s="39" t="s">
        <v>33</v>
      </c>
      <c r="C33" s="42" t="s">
        <v>53</v>
      </c>
      <c r="D33" s="42">
        <f>D18</f>
        <v>1</v>
      </c>
      <c r="E33" s="42">
        <v>1</v>
      </c>
      <c r="F33" s="42">
        <v>1</v>
      </c>
      <c r="G33" s="169">
        <v>1</v>
      </c>
      <c r="I33" s="58" t="s">
        <v>59</v>
      </c>
      <c r="J33" s="158">
        <v>2</v>
      </c>
      <c r="K33" s="59"/>
      <c r="L33" s="41">
        <v>60</v>
      </c>
      <c r="M33" s="60">
        <f t="shared" si="4"/>
        <v>0</v>
      </c>
      <c r="N33" s="63"/>
      <c r="O33" s="50"/>
      <c r="P33" s="50"/>
      <c r="Q33" s="50"/>
    </row>
    <row r="34" spans="1:1023" ht="15" customHeight="1">
      <c r="A34" s="258"/>
      <c r="B34" s="258"/>
      <c r="C34" s="258"/>
      <c r="D34" s="258"/>
      <c r="E34" s="258"/>
      <c r="F34" s="258"/>
      <c r="G34" s="175"/>
      <c r="I34" s="58" t="s">
        <v>229</v>
      </c>
      <c r="J34" s="158">
        <v>2</v>
      </c>
      <c r="K34" s="59"/>
      <c r="L34" s="41">
        <v>60</v>
      </c>
      <c r="M34" s="60">
        <f t="shared" si="4"/>
        <v>0</v>
      </c>
      <c r="N34" s="50"/>
      <c r="O34" s="63"/>
      <c r="P34" s="63"/>
      <c r="Q34" s="50"/>
    </row>
    <row r="35" spans="1:1023" ht="15.95" customHeight="1">
      <c r="A35" s="252" t="s">
        <v>55</v>
      </c>
      <c r="B35" s="252"/>
      <c r="C35" s="252"/>
      <c r="D35" s="252"/>
      <c r="E35" s="252"/>
      <c r="F35" s="252"/>
      <c r="G35" s="167"/>
      <c r="I35" s="62" t="s">
        <v>230</v>
      </c>
      <c r="J35" s="158">
        <v>2</v>
      </c>
      <c r="K35" s="59"/>
      <c r="L35" s="41">
        <v>60</v>
      </c>
      <c r="M35" s="60">
        <f t="shared" si="4"/>
        <v>0</v>
      </c>
      <c r="N35" s="50"/>
      <c r="O35" s="63"/>
      <c r="P35" s="63"/>
      <c r="Q35" s="63"/>
    </row>
    <row r="36" spans="1:1023" ht="15" customHeight="1">
      <c r="A36" s="42">
        <v>1</v>
      </c>
      <c r="B36" s="47" t="s">
        <v>57</v>
      </c>
      <c r="C36" s="47"/>
      <c r="D36" s="37" t="s">
        <v>58</v>
      </c>
      <c r="E36" s="37" t="s">
        <v>58</v>
      </c>
      <c r="F36" s="37" t="s">
        <v>58</v>
      </c>
      <c r="G36" s="37" t="s">
        <v>58</v>
      </c>
      <c r="I36" s="62" t="s">
        <v>213</v>
      </c>
      <c r="J36" s="158">
        <v>2</v>
      </c>
      <c r="K36" s="59"/>
      <c r="L36" s="41">
        <v>60</v>
      </c>
      <c r="M36" s="60">
        <f t="shared" si="4"/>
        <v>0</v>
      </c>
      <c r="N36" s="63"/>
      <c r="O36" s="63"/>
      <c r="P36" s="63"/>
      <c r="Q36" s="50"/>
    </row>
    <row r="37" spans="1:1023" ht="15" customHeight="1">
      <c r="A37" s="42" t="s">
        <v>60</v>
      </c>
      <c r="B37" s="39" t="s">
        <v>61</v>
      </c>
      <c r="C37" s="39"/>
      <c r="D37" s="64">
        <f>D31</f>
        <v>0</v>
      </c>
      <c r="E37" s="64">
        <f>E31</f>
        <v>0</v>
      </c>
      <c r="F37" s="64">
        <f>F31</f>
        <v>0</v>
      </c>
      <c r="G37" s="64"/>
      <c r="I37" s="58" t="s">
        <v>66</v>
      </c>
      <c r="J37" s="158">
        <v>2</v>
      </c>
      <c r="K37" s="59"/>
      <c r="L37" s="41">
        <v>60</v>
      </c>
      <c r="M37" s="60">
        <f t="shared" si="4"/>
        <v>0</v>
      </c>
      <c r="N37" s="63"/>
      <c r="O37" s="50"/>
      <c r="P37" s="50"/>
      <c r="Q37" s="50"/>
    </row>
    <row r="38" spans="1:1023" ht="15" customHeight="1">
      <c r="A38" s="42" t="s">
        <v>62</v>
      </c>
      <c r="B38" s="39" t="s">
        <v>63</v>
      </c>
      <c r="C38" s="65">
        <v>0.3</v>
      </c>
      <c r="D38" s="64">
        <f>C38*D37</f>
        <v>0</v>
      </c>
      <c r="E38" s="137"/>
      <c r="F38" s="64"/>
      <c r="G38" s="64"/>
      <c r="I38" s="58" t="s">
        <v>69</v>
      </c>
      <c r="J38" s="158">
        <v>2</v>
      </c>
      <c r="K38" s="59"/>
      <c r="L38" s="41">
        <v>60</v>
      </c>
      <c r="M38" s="60">
        <f t="shared" si="4"/>
        <v>0</v>
      </c>
      <c r="N38" s="50"/>
      <c r="O38" s="63"/>
      <c r="P38" s="63"/>
      <c r="Q38" s="50"/>
    </row>
    <row r="39" spans="1:1023" ht="15" customHeight="1">
      <c r="A39" s="42" t="s">
        <v>64</v>
      </c>
      <c r="B39" s="39" t="s">
        <v>65</v>
      </c>
      <c r="C39" s="65">
        <v>0.4</v>
      </c>
      <c r="D39" s="259"/>
      <c r="E39" s="259"/>
      <c r="F39" s="259"/>
      <c r="G39" s="241"/>
      <c r="I39" s="58" t="s">
        <v>72</v>
      </c>
      <c r="J39" s="158">
        <v>2</v>
      </c>
      <c r="K39" s="59"/>
      <c r="L39" s="41">
        <v>60</v>
      </c>
      <c r="M39" s="60">
        <f t="shared" si="4"/>
        <v>0</v>
      </c>
      <c r="N39" s="63"/>
      <c r="O39" s="63"/>
      <c r="P39" s="63"/>
      <c r="Q39" s="50"/>
    </row>
    <row r="40" spans="1:1023" ht="15" customHeight="1">
      <c r="A40" s="42"/>
      <c r="B40" s="39" t="s">
        <v>287</v>
      </c>
      <c r="C40" s="66">
        <v>1412</v>
      </c>
      <c r="D40" s="259"/>
      <c r="E40" s="259"/>
      <c r="F40" s="259"/>
      <c r="G40" s="242"/>
      <c r="I40" s="153" t="s">
        <v>231</v>
      </c>
      <c r="J40" s="158">
        <v>2</v>
      </c>
      <c r="K40" s="59"/>
      <c r="L40" s="41">
        <v>60</v>
      </c>
      <c r="M40" s="60">
        <f t="shared" si="4"/>
        <v>0</v>
      </c>
      <c r="N40" s="50"/>
      <c r="O40" s="50"/>
      <c r="P40" s="50"/>
      <c r="Q40" s="63"/>
    </row>
    <row r="41" spans="1:1023" ht="15" customHeight="1">
      <c r="A41" s="42" t="s">
        <v>67</v>
      </c>
      <c r="B41" s="39" t="s">
        <v>68</v>
      </c>
      <c r="C41" s="65">
        <v>0.25</v>
      </c>
      <c r="D41" s="39"/>
      <c r="E41" s="39"/>
      <c r="F41" s="39"/>
      <c r="G41" s="170"/>
      <c r="I41" s="153" t="s">
        <v>232</v>
      </c>
      <c r="J41" s="158">
        <v>2</v>
      </c>
      <c r="K41" s="59"/>
      <c r="L41" s="41">
        <v>60</v>
      </c>
      <c r="M41" s="60">
        <f t="shared" si="4"/>
        <v>0</v>
      </c>
      <c r="N41" s="50"/>
      <c r="O41" s="63"/>
      <c r="P41" s="63"/>
      <c r="Q41" s="50"/>
    </row>
    <row r="42" spans="1:1023" ht="22.5" customHeight="1">
      <c r="A42" s="42" t="s">
        <v>70</v>
      </c>
      <c r="B42" s="39" t="s">
        <v>71</v>
      </c>
      <c r="C42" s="65"/>
      <c r="D42" s="39"/>
      <c r="E42" s="39"/>
      <c r="F42" s="39"/>
      <c r="G42" s="170"/>
      <c r="I42" s="58" t="s">
        <v>80</v>
      </c>
      <c r="J42" s="158">
        <v>2</v>
      </c>
      <c r="K42" s="59"/>
      <c r="L42" s="41">
        <v>60</v>
      </c>
      <c r="M42" s="60">
        <f t="shared" si="4"/>
        <v>0</v>
      </c>
      <c r="N42" s="63"/>
      <c r="O42" s="50"/>
      <c r="P42" s="50"/>
      <c r="Q42" s="50"/>
    </row>
    <row r="43" spans="1:1023" s="68" customFormat="1" ht="15" customHeight="1">
      <c r="A43" s="47"/>
      <c r="B43" s="67"/>
      <c r="C43" s="67"/>
      <c r="D43" s="67">
        <f>SUM(D37:D42)</f>
        <v>0</v>
      </c>
      <c r="E43" s="67">
        <f>SUM(E37:E42)</f>
        <v>0</v>
      </c>
      <c r="F43" s="67">
        <f>SUM(F37:F42)</f>
        <v>0</v>
      </c>
      <c r="G43" s="67">
        <f>SUM(G37:G38)</f>
        <v>0</v>
      </c>
      <c r="I43" s="58" t="s">
        <v>214</v>
      </c>
      <c r="J43" s="158">
        <v>2</v>
      </c>
      <c r="K43" s="59"/>
      <c r="L43" s="41">
        <v>60</v>
      </c>
      <c r="M43" s="60">
        <f t="shared" si="4"/>
        <v>0</v>
      </c>
      <c r="N43" s="50"/>
      <c r="O43" s="50"/>
      <c r="P43" s="50"/>
      <c r="Q43" s="63"/>
      <c r="AMG43"/>
      <c r="AMH43"/>
      <c r="AMI43"/>
    </row>
    <row r="44" spans="1:1023" s="68" customFormat="1" ht="15.95" customHeight="1">
      <c r="A44" s="255" t="s">
        <v>73</v>
      </c>
      <c r="B44" s="255"/>
      <c r="C44" s="255"/>
      <c r="D44" s="255"/>
      <c r="E44" s="255"/>
      <c r="F44" s="255"/>
      <c r="G44" s="181"/>
      <c r="I44" s="58" t="s">
        <v>84</v>
      </c>
      <c r="J44" s="158">
        <v>2</v>
      </c>
      <c r="K44" s="59"/>
      <c r="L44" s="41">
        <v>60</v>
      </c>
      <c r="M44" s="60">
        <f t="shared" si="4"/>
        <v>0</v>
      </c>
      <c r="N44" s="50"/>
      <c r="O44" s="50"/>
      <c r="P44" s="50"/>
      <c r="Q44" s="63"/>
      <c r="AMG44"/>
      <c r="AMH44"/>
      <c r="AMI44"/>
    </row>
    <row r="45" spans="1:1023" ht="15.95" customHeight="1">
      <c r="A45" s="252" t="s">
        <v>74</v>
      </c>
      <c r="B45" s="252"/>
      <c r="C45" s="252"/>
      <c r="D45" s="252"/>
      <c r="E45" s="252"/>
      <c r="F45" s="252"/>
      <c r="G45" s="180"/>
      <c r="I45" s="58" t="s">
        <v>86</v>
      </c>
      <c r="J45" s="158">
        <v>2</v>
      </c>
      <c r="K45" s="59"/>
      <c r="L45" s="41">
        <v>60</v>
      </c>
      <c r="M45" s="60">
        <f t="shared" si="4"/>
        <v>0</v>
      </c>
      <c r="N45" s="50"/>
      <c r="O45" s="50"/>
      <c r="P45" s="50"/>
      <c r="Q45" s="63"/>
    </row>
    <row r="46" spans="1:1023" ht="15.95" customHeight="1">
      <c r="A46" s="256" t="s">
        <v>75</v>
      </c>
      <c r="B46" s="256"/>
      <c r="C46" s="256"/>
      <c r="D46" s="256"/>
      <c r="E46" s="256"/>
      <c r="I46" s="58" t="s">
        <v>233</v>
      </c>
      <c r="J46" s="158">
        <v>2</v>
      </c>
      <c r="K46" s="59"/>
      <c r="L46" s="41">
        <v>60</v>
      </c>
      <c r="M46" s="60">
        <f t="shared" si="4"/>
        <v>0</v>
      </c>
      <c r="N46" s="50"/>
      <c r="O46" s="50"/>
      <c r="P46" s="50"/>
      <c r="Q46" s="63"/>
    </row>
    <row r="47" spans="1:1023" ht="15" customHeight="1">
      <c r="A47" s="42" t="s">
        <v>60</v>
      </c>
      <c r="B47" s="39" t="s">
        <v>76</v>
      </c>
      <c r="C47" s="65">
        <f>1/12</f>
        <v>8.3333333333333329E-2</v>
      </c>
      <c r="D47" s="64">
        <f>C47*D43</f>
        <v>0</v>
      </c>
      <c r="E47" s="64">
        <f>C47*E43</f>
        <v>0</v>
      </c>
      <c r="F47" s="64">
        <f>C47*F43</f>
        <v>0</v>
      </c>
      <c r="G47" s="64">
        <f>C47*G43</f>
        <v>0</v>
      </c>
      <c r="I47" s="58" t="s">
        <v>215</v>
      </c>
      <c r="J47" s="158">
        <v>2</v>
      </c>
      <c r="K47" s="59"/>
      <c r="L47" s="41">
        <v>60</v>
      </c>
      <c r="M47" s="60">
        <f t="shared" si="4"/>
        <v>0</v>
      </c>
      <c r="N47" s="50"/>
      <c r="O47" s="50"/>
      <c r="P47" s="50"/>
      <c r="Q47" s="63"/>
    </row>
    <row r="48" spans="1:1023" ht="15" customHeight="1">
      <c r="A48" s="42" t="s">
        <v>62</v>
      </c>
      <c r="B48" s="39" t="s">
        <v>77</v>
      </c>
      <c r="C48" s="65">
        <f>1/3/12</f>
        <v>2.7777777777777776E-2</v>
      </c>
      <c r="D48" s="64">
        <f>C48*D43</f>
        <v>0</v>
      </c>
      <c r="E48" s="64">
        <f>C48*E43</f>
        <v>0</v>
      </c>
      <c r="F48" s="64">
        <f>C48*F43</f>
        <v>0</v>
      </c>
      <c r="G48" s="64">
        <f>C48*G43</f>
        <v>0</v>
      </c>
      <c r="I48" s="153" t="s">
        <v>92</v>
      </c>
      <c r="J48" s="158">
        <v>2</v>
      </c>
      <c r="K48" s="59"/>
      <c r="L48" s="41">
        <v>60</v>
      </c>
      <c r="M48" s="60">
        <f t="shared" si="4"/>
        <v>0</v>
      </c>
      <c r="N48" s="50"/>
      <c r="O48" s="50"/>
      <c r="P48" s="50"/>
      <c r="Q48" s="63"/>
    </row>
    <row r="49" spans="1:1023" ht="15" customHeight="1">
      <c r="A49" s="39"/>
      <c r="B49" s="39" t="s">
        <v>78</v>
      </c>
      <c r="C49" s="39"/>
      <c r="D49" s="67">
        <f>D47+D48</f>
        <v>0</v>
      </c>
      <c r="E49" s="67">
        <f>E47+E48</f>
        <v>0</v>
      </c>
      <c r="F49" s="67">
        <f>F47+F48</f>
        <v>0</v>
      </c>
      <c r="G49" s="64">
        <f>G47+G48</f>
        <v>0</v>
      </c>
      <c r="I49" s="58" t="s">
        <v>95</v>
      </c>
      <c r="J49" s="158">
        <v>2</v>
      </c>
      <c r="K49" s="59"/>
      <c r="L49" s="41">
        <v>60</v>
      </c>
      <c r="M49" s="60">
        <f t="shared" si="4"/>
        <v>0</v>
      </c>
      <c r="N49" s="50"/>
      <c r="O49" s="50"/>
      <c r="P49" s="50"/>
      <c r="Q49" s="63"/>
    </row>
    <row r="50" spans="1:1023" ht="28.15" customHeight="1">
      <c r="A50" s="253" t="s">
        <v>79</v>
      </c>
      <c r="B50" s="253"/>
      <c r="C50" s="253"/>
      <c r="D50" s="253"/>
      <c r="E50" s="253"/>
      <c r="F50" s="253"/>
      <c r="G50" s="182"/>
      <c r="I50" s="58" t="s">
        <v>98</v>
      </c>
      <c r="J50" s="158">
        <v>2</v>
      </c>
      <c r="K50" s="59"/>
      <c r="L50" s="41">
        <v>60</v>
      </c>
      <c r="M50" s="60">
        <f t="shared" si="4"/>
        <v>0</v>
      </c>
      <c r="N50" s="50"/>
      <c r="O50" s="50"/>
      <c r="P50" s="50"/>
      <c r="Q50" s="63"/>
    </row>
    <row r="51" spans="1:1023" ht="25.35" customHeight="1">
      <c r="A51" s="257" t="s">
        <v>81</v>
      </c>
      <c r="B51" s="257"/>
      <c r="C51" s="257"/>
      <c r="D51" s="257"/>
      <c r="E51" s="257"/>
      <c r="F51" s="257"/>
      <c r="G51" s="168"/>
      <c r="I51" s="58" t="s">
        <v>99</v>
      </c>
      <c r="J51" s="158">
        <v>2</v>
      </c>
      <c r="K51" s="59"/>
      <c r="L51" s="41">
        <v>60</v>
      </c>
      <c r="M51" s="60">
        <f t="shared" si="4"/>
        <v>0</v>
      </c>
      <c r="N51" s="50"/>
      <c r="O51" s="50"/>
      <c r="P51" s="50"/>
      <c r="Q51" s="63"/>
    </row>
    <row r="52" spans="1:1023" ht="35.25" customHeight="1">
      <c r="A52" s="254" t="s">
        <v>288</v>
      </c>
      <c r="B52" s="254"/>
      <c r="C52" s="254"/>
      <c r="D52" s="254"/>
      <c r="E52" s="254"/>
      <c r="F52" s="254"/>
      <c r="G52" s="182"/>
      <c r="I52" s="58" t="s">
        <v>101</v>
      </c>
      <c r="J52" s="158">
        <v>2</v>
      </c>
      <c r="K52" s="59"/>
      <c r="L52" s="41">
        <v>60</v>
      </c>
      <c r="M52" s="60">
        <f t="shared" si="4"/>
        <v>0</v>
      </c>
      <c r="N52" s="50"/>
      <c r="O52" s="63"/>
      <c r="P52" s="63"/>
      <c r="Q52" s="50"/>
    </row>
    <row r="53" spans="1:1023" ht="15.95" customHeight="1">
      <c r="A53" s="252" t="s">
        <v>82</v>
      </c>
      <c r="B53" s="252"/>
      <c r="C53" s="252"/>
      <c r="D53" s="252"/>
      <c r="E53" s="252"/>
      <c r="F53" s="252"/>
      <c r="G53" s="167"/>
      <c r="I53" s="58" t="s">
        <v>234</v>
      </c>
      <c r="J53" s="158">
        <v>2</v>
      </c>
      <c r="K53" s="59"/>
      <c r="L53" s="41">
        <v>60</v>
      </c>
      <c r="M53" s="60">
        <f t="shared" si="4"/>
        <v>0</v>
      </c>
      <c r="N53" s="63"/>
      <c r="O53" s="50"/>
      <c r="P53" s="50"/>
      <c r="Q53" s="50"/>
    </row>
    <row r="54" spans="1:1023" ht="15" customHeight="1">
      <c r="A54" s="42" t="s">
        <v>60</v>
      </c>
      <c r="B54" s="39" t="s">
        <v>83</v>
      </c>
      <c r="C54" s="65">
        <v>0.2</v>
      </c>
      <c r="D54" s="64">
        <f>C54*(D43+D49)</f>
        <v>0</v>
      </c>
      <c r="E54" s="64">
        <f>C54*(E43+E49)</f>
        <v>0</v>
      </c>
      <c r="F54" s="64">
        <f>C54*(F43+F49)</f>
        <v>0</v>
      </c>
      <c r="G54" s="64">
        <f>C54*(G43+G49)</f>
        <v>0</v>
      </c>
      <c r="I54" s="58" t="s">
        <v>104</v>
      </c>
      <c r="J54" s="158">
        <v>2</v>
      </c>
      <c r="K54" s="59"/>
      <c r="L54" s="41">
        <v>60</v>
      </c>
      <c r="M54" s="60">
        <f t="shared" si="4"/>
        <v>0</v>
      </c>
      <c r="N54" s="63"/>
      <c r="O54" s="50"/>
      <c r="P54" s="50"/>
      <c r="Q54" s="50"/>
    </row>
    <row r="55" spans="1:1023" ht="15" customHeight="1">
      <c r="A55" s="42" t="s">
        <v>62</v>
      </c>
      <c r="B55" s="39" t="s">
        <v>85</v>
      </c>
      <c r="C55" s="65">
        <v>2.5000000000000001E-2</v>
      </c>
      <c r="D55" s="64">
        <f>C55*(D43+D49)</f>
        <v>0</v>
      </c>
      <c r="E55" s="64">
        <f>C55*(E43+E49)</f>
        <v>0</v>
      </c>
      <c r="F55" s="64">
        <f>C55*(F43+F49)</f>
        <v>0</v>
      </c>
      <c r="G55" s="64">
        <f>C55*(G43+G49)</f>
        <v>0</v>
      </c>
      <c r="I55" s="58" t="s">
        <v>106</v>
      </c>
      <c r="J55" s="158">
        <v>2</v>
      </c>
      <c r="K55" s="59"/>
      <c r="L55" s="41">
        <v>60</v>
      </c>
      <c r="M55" s="60">
        <f t="shared" si="4"/>
        <v>0</v>
      </c>
      <c r="N55" s="63"/>
      <c r="O55" s="50"/>
      <c r="P55" s="50"/>
      <c r="Q55" s="50"/>
    </row>
    <row r="56" spans="1:1023" ht="15" customHeight="1">
      <c r="A56" s="42" t="s">
        <v>64</v>
      </c>
      <c r="B56" s="39" t="s">
        <v>87</v>
      </c>
      <c r="C56" s="65">
        <v>0.03</v>
      </c>
      <c r="D56" s="64">
        <f>C56*(D43+D49)</f>
        <v>0</v>
      </c>
      <c r="E56" s="64">
        <f>C56*(E43+E49)</f>
        <v>0</v>
      </c>
      <c r="F56" s="64">
        <f>C56*(F43+F49)</f>
        <v>0</v>
      </c>
      <c r="G56" s="64">
        <f>C56*(G43+G49)</f>
        <v>0</v>
      </c>
      <c r="I56" s="58" t="s">
        <v>109</v>
      </c>
      <c r="J56" s="158">
        <v>2</v>
      </c>
      <c r="K56" s="59"/>
      <c r="L56" s="41">
        <v>60</v>
      </c>
      <c r="M56" s="60">
        <f t="shared" si="4"/>
        <v>0</v>
      </c>
      <c r="N56" s="63"/>
      <c r="O56" s="50"/>
      <c r="P56" s="50"/>
      <c r="Q56" s="63"/>
    </row>
    <row r="57" spans="1:1023" ht="15" customHeight="1">
      <c r="A57" s="42" t="s">
        <v>67</v>
      </c>
      <c r="B57" s="39" t="s">
        <v>88</v>
      </c>
      <c r="C57" s="65">
        <v>1.4999999999999999E-2</v>
      </c>
      <c r="D57" s="64">
        <f>C57*(D43+D49)</f>
        <v>0</v>
      </c>
      <c r="E57" s="64">
        <f>C57*(E43+E49)</f>
        <v>0</v>
      </c>
      <c r="F57" s="64">
        <f>C57*(F43+F49)</f>
        <v>0</v>
      </c>
      <c r="G57" s="64">
        <f>C57*(G43+G49)</f>
        <v>0</v>
      </c>
      <c r="I57" s="58" t="s">
        <v>235</v>
      </c>
      <c r="J57" s="158">
        <v>2</v>
      </c>
      <c r="K57" s="59"/>
      <c r="L57" s="41">
        <v>60</v>
      </c>
      <c r="M57" s="60">
        <f t="shared" si="4"/>
        <v>0</v>
      </c>
      <c r="N57" s="63"/>
      <c r="O57" s="50"/>
      <c r="P57" s="50"/>
      <c r="Q57" s="50"/>
    </row>
    <row r="58" spans="1:1023" ht="15" customHeight="1">
      <c r="A58" s="42" t="s">
        <v>70</v>
      </c>
      <c r="B58" s="39" t="s">
        <v>89</v>
      </c>
      <c r="C58" s="65">
        <v>0.01</v>
      </c>
      <c r="D58" s="64">
        <f>C58*(D43+D49)</f>
        <v>0</v>
      </c>
      <c r="E58" s="64">
        <f>C58*(E43+E49)</f>
        <v>0</v>
      </c>
      <c r="F58" s="64">
        <f>C58*(F43+F49)</f>
        <v>0</v>
      </c>
      <c r="G58" s="64">
        <f>C58*(G43+G49)</f>
        <v>0</v>
      </c>
      <c r="I58" s="165" t="s">
        <v>236</v>
      </c>
      <c r="J58" s="158">
        <v>2</v>
      </c>
      <c r="K58" s="59"/>
      <c r="L58" s="41">
        <v>60</v>
      </c>
      <c r="M58" s="60">
        <f t="shared" si="4"/>
        <v>0</v>
      </c>
      <c r="N58" s="50"/>
      <c r="O58" s="50"/>
      <c r="P58" s="50"/>
      <c r="Q58" s="63"/>
    </row>
    <row r="59" spans="1:1023" ht="15" customHeight="1">
      <c r="A59" s="42" t="s">
        <v>90</v>
      </c>
      <c r="B59" s="39" t="s">
        <v>91</v>
      </c>
      <c r="C59" s="65">
        <v>6.0000000000000001E-3</v>
      </c>
      <c r="D59" s="64">
        <f>C59*(D43+D49)</f>
        <v>0</v>
      </c>
      <c r="E59" s="64">
        <f>C59*(E43+E49)</f>
        <v>0</v>
      </c>
      <c r="F59" s="64">
        <f>C59*(F43+F49)</f>
        <v>0</v>
      </c>
      <c r="G59" s="64">
        <f>C59*(G43+G49)</f>
        <v>0</v>
      </c>
      <c r="I59" s="58" t="s">
        <v>216</v>
      </c>
      <c r="J59" s="158">
        <v>2</v>
      </c>
      <c r="K59" s="59"/>
      <c r="L59" s="41">
        <v>60</v>
      </c>
      <c r="M59" s="60">
        <f t="shared" si="4"/>
        <v>0</v>
      </c>
      <c r="N59" s="50"/>
      <c r="O59" s="63"/>
      <c r="P59" s="63"/>
      <c r="Q59" s="50"/>
    </row>
    <row r="60" spans="1:1023" ht="15" customHeight="1">
      <c r="A60" s="42" t="s">
        <v>93</v>
      </c>
      <c r="B60" s="39" t="s">
        <v>94</v>
      </c>
      <c r="C60" s="65">
        <v>2E-3</v>
      </c>
      <c r="D60" s="64">
        <f>C60*(D43+D49)</f>
        <v>0</v>
      </c>
      <c r="E60" s="64">
        <f>C60*(E43+E49)</f>
        <v>0</v>
      </c>
      <c r="F60" s="64">
        <f>C60*(F43+F49)</f>
        <v>0</v>
      </c>
      <c r="G60" s="64">
        <f>C60*(G43+G49)</f>
        <v>0</v>
      </c>
      <c r="I60" s="58" t="s">
        <v>217</v>
      </c>
      <c r="J60" s="158">
        <v>2</v>
      </c>
      <c r="K60" s="59"/>
      <c r="L60" s="41">
        <v>60</v>
      </c>
      <c r="M60" s="60">
        <f t="shared" si="4"/>
        <v>0</v>
      </c>
      <c r="N60" s="50"/>
      <c r="O60" s="50"/>
      <c r="P60" s="50"/>
      <c r="Q60" s="50"/>
    </row>
    <row r="61" spans="1:1023" ht="15" customHeight="1">
      <c r="A61" s="42" t="s">
        <v>96</v>
      </c>
      <c r="B61" s="39" t="s">
        <v>97</v>
      </c>
      <c r="C61" s="65">
        <v>0.08</v>
      </c>
      <c r="D61" s="64">
        <f>C61*(D43+D49)</f>
        <v>0</v>
      </c>
      <c r="E61" s="64">
        <f>C61*(E43+E49)</f>
        <v>0</v>
      </c>
      <c r="F61" s="64">
        <f>C61*(F43+F49)</f>
        <v>0</v>
      </c>
      <c r="G61" s="64">
        <f>C61*(G43+G49)</f>
        <v>0</v>
      </c>
      <c r="H61" s="57"/>
      <c r="I61" s="58" t="s">
        <v>113</v>
      </c>
      <c r="J61" s="158">
        <v>2</v>
      </c>
      <c r="K61" s="59"/>
      <c r="L61" s="41">
        <v>60</v>
      </c>
      <c r="M61" s="60">
        <f t="shared" si="4"/>
        <v>0</v>
      </c>
      <c r="N61" s="50"/>
      <c r="O61" s="50"/>
      <c r="P61" s="50"/>
      <c r="Q61" s="50"/>
    </row>
    <row r="62" spans="1:1023" ht="15" customHeight="1">
      <c r="A62" s="39"/>
      <c r="B62" s="39" t="s">
        <v>78</v>
      </c>
      <c r="C62" s="69">
        <f t="shared" ref="C62:F62" si="5">SUM(C54:C61)</f>
        <v>0.36800000000000005</v>
      </c>
      <c r="D62" s="67">
        <f t="shared" si="5"/>
        <v>0</v>
      </c>
      <c r="E62" s="67">
        <f t="shared" si="5"/>
        <v>0</v>
      </c>
      <c r="F62" s="67">
        <f t="shared" si="5"/>
        <v>0</v>
      </c>
      <c r="G62" s="67">
        <f>SUM(G54:G61)</f>
        <v>0</v>
      </c>
      <c r="H62" s="57"/>
      <c r="I62" s="58" t="s">
        <v>114</v>
      </c>
      <c r="J62" s="158">
        <v>2</v>
      </c>
      <c r="K62" s="59"/>
      <c r="L62" s="41">
        <v>60</v>
      </c>
      <c r="M62" s="60">
        <f t="shared" si="4"/>
        <v>0</v>
      </c>
      <c r="N62" s="50"/>
      <c r="O62" s="50"/>
      <c r="P62" s="50"/>
      <c r="Q62" s="50"/>
    </row>
    <row r="63" spans="1:1023" s="70" customFormat="1" ht="15.95" customHeight="1">
      <c r="A63" s="253" t="s">
        <v>100</v>
      </c>
      <c r="B63" s="253"/>
      <c r="C63" s="253"/>
      <c r="D63" s="253"/>
      <c r="E63" s="253"/>
      <c r="F63" s="253"/>
      <c r="G63" s="182"/>
      <c r="I63" s="58" t="s">
        <v>116</v>
      </c>
      <c r="J63" s="158">
        <v>2</v>
      </c>
      <c r="K63" s="59"/>
      <c r="L63" s="41">
        <v>60</v>
      </c>
      <c r="M63" s="60">
        <f t="shared" si="4"/>
        <v>0</v>
      </c>
      <c r="N63" s="63"/>
      <c r="O63" s="50"/>
      <c r="P63" s="50"/>
      <c r="Q63" s="50"/>
      <c r="AMG63"/>
      <c r="AMH63"/>
      <c r="AMI63"/>
    </row>
    <row r="64" spans="1:1023" s="70" customFormat="1" ht="15.95" customHeight="1">
      <c r="A64" s="257" t="s">
        <v>102</v>
      </c>
      <c r="B64" s="257"/>
      <c r="C64" s="257"/>
      <c r="D64" s="257"/>
      <c r="E64" s="257"/>
      <c r="F64" s="257"/>
      <c r="G64" s="168"/>
      <c r="I64" s="58" t="s">
        <v>120</v>
      </c>
      <c r="J64" s="158">
        <v>2</v>
      </c>
      <c r="K64" s="59"/>
      <c r="L64" s="41">
        <v>60</v>
      </c>
      <c r="M64" s="60">
        <f t="shared" si="4"/>
        <v>0</v>
      </c>
      <c r="N64" s="63"/>
      <c r="O64" s="50"/>
      <c r="P64" s="50"/>
      <c r="Q64" s="50"/>
      <c r="AMG64"/>
      <c r="AMH64"/>
      <c r="AMI64"/>
    </row>
    <row r="65" spans="1:1023" s="70" customFormat="1" ht="15.95" customHeight="1">
      <c r="A65" s="254" t="s">
        <v>103</v>
      </c>
      <c r="B65" s="254"/>
      <c r="C65" s="254"/>
      <c r="D65" s="254"/>
      <c r="E65" s="254"/>
      <c r="F65" s="254"/>
      <c r="G65" s="182"/>
      <c r="I65" s="58" t="s">
        <v>218</v>
      </c>
      <c r="J65" s="158">
        <v>2</v>
      </c>
      <c r="K65" s="59"/>
      <c r="L65" s="41">
        <v>60</v>
      </c>
      <c r="M65" s="60">
        <f t="shared" si="4"/>
        <v>0</v>
      </c>
      <c r="N65" s="50"/>
      <c r="O65" s="63"/>
      <c r="P65" s="63"/>
      <c r="Q65" s="50"/>
      <c r="AMG65"/>
      <c r="AMH65"/>
      <c r="AMI65"/>
    </row>
    <row r="66" spans="1:1023" s="70" customFormat="1" ht="15.95" customHeight="1">
      <c r="A66" s="252" t="s">
        <v>105</v>
      </c>
      <c r="B66" s="252"/>
      <c r="C66" s="252"/>
      <c r="D66" s="252"/>
      <c r="E66" s="252"/>
      <c r="F66" s="252"/>
      <c r="G66" s="167"/>
      <c r="I66" s="58" t="s">
        <v>219</v>
      </c>
      <c r="J66" s="158">
        <v>2</v>
      </c>
      <c r="K66" s="59"/>
      <c r="L66" s="41">
        <v>60</v>
      </c>
      <c r="M66" s="60">
        <f t="shared" si="4"/>
        <v>0</v>
      </c>
      <c r="N66" s="50"/>
      <c r="O66" s="50"/>
      <c r="P66" s="50"/>
      <c r="Q66" s="50"/>
      <c r="AMG66"/>
      <c r="AMH66"/>
      <c r="AMI66"/>
    </row>
    <row r="67" spans="1:1023" ht="15" customHeight="1">
      <c r="A67" s="42" t="s">
        <v>107</v>
      </c>
      <c r="B67" s="39" t="s">
        <v>108</v>
      </c>
      <c r="C67" s="71">
        <v>4.5</v>
      </c>
      <c r="D67" s="64">
        <f>$C67*44-(D37*0.06)</f>
        <v>198</v>
      </c>
      <c r="E67" s="64">
        <f>$C67*44-(E37*0.06)</f>
        <v>198</v>
      </c>
      <c r="F67" s="71">
        <f>$C67*44-(F37*0.06)</f>
        <v>198</v>
      </c>
      <c r="G67" s="71"/>
      <c r="H67" s="57"/>
      <c r="I67" s="58" t="s">
        <v>220</v>
      </c>
      <c r="J67" s="158">
        <v>4</v>
      </c>
      <c r="K67" s="59"/>
      <c r="L67" s="41">
        <v>60</v>
      </c>
      <c r="M67" s="60">
        <f t="shared" si="4"/>
        <v>0</v>
      </c>
      <c r="N67" s="50"/>
      <c r="O67" s="50"/>
      <c r="P67" s="50"/>
      <c r="Q67" s="50"/>
    </row>
    <row r="68" spans="1:1023" ht="15" customHeight="1">
      <c r="A68" s="42" t="s">
        <v>62</v>
      </c>
      <c r="B68" s="136" t="s">
        <v>283</v>
      </c>
      <c r="C68" s="72"/>
      <c r="D68" s="135">
        <f>C68</f>
        <v>0</v>
      </c>
      <c r="E68" s="64">
        <f>C68</f>
        <v>0</v>
      </c>
      <c r="F68" s="64">
        <f>D68</f>
        <v>0</v>
      </c>
      <c r="G68" s="64">
        <f>((21.27*22)*(1-0.01))</f>
        <v>463.26060000000001</v>
      </c>
      <c r="H68" s="57"/>
      <c r="I68" s="58" t="s">
        <v>124</v>
      </c>
      <c r="J68" s="158">
        <v>2</v>
      </c>
      <c r="K68" s="59"/>
      <c r="L68" s="41">
        <v>60</v>
      </c>
      <c r="M68" s="60">
        <f t="shared" si="4"/>
        <v>0</v>
      </c>
      <c r="N68" s="50"/>
      <c r="O68" s="50"/>
      <c r="P68" s="50"/>
      <c r="Q68" s="50"/>
    </row>
    <row r="69" spans="1:1023" ht="15" customHeight="1">
      <c r="A69" s="42" t="s">
        <v>64</v>
      </c>
      <c r="B69" s="39" t="s">
        <v>110</v>
      </c>
      <c r="C69" s="71"/>
      <c r="D69" s="64">
        <f>$C69</f>
        <v>0</v>
      </c>
      <c r="E69" s="64">
        <f>$C69</f>
        <v>0</v>
      </c>
      <c r="F69" s="64">
        <f>$C69</f>
        <v>0</v>
      </c>
      <c r="G69" s="64">
        <v>12.88</v>
      </c>
      <c r="I69" s="58" t="s">
        <v>127</v>
      </c>
      <c r="J69" s="158">
        <v>2</v>
      </c>
      <c r="K69" s="59"/>
      <c r="L69" s="41">
        <v>60</v>
      </c>
      <c r="M69" s="60">
        <f t="shared" si="4"/>
        <v>0</v>
      </c>
      <c r="N69" s="50"/>
      <c r="O69" s="50"/>
      <c r="P69" s="50"/>
      <c r="Q69" s="50"/>
    </row>
    <row r="70" spans="1:1023" ht="15" customHeight="1">
      <c r="A70" s="42" t="s">
        <v>67</v>
      </c>
      <c r="B70" s="136" t="s">
        <v>111</v>
      </c>
      <c r="C70" s="73">
        <f>0.5*C68</f>
        <v>0</v>
      </c>
      <c r="D70" s="64">
        <f>$C70/12</f>
        <v>0</v>
      </c>
      <c r="E70" s="64">
        <f>$C70/12</f>
        <v>0</v>
      </c>
      <c r="F70" s="64">
        <f>$C70/12</f>
        <v>0</v>
      </c>
      <c r="G70" s="64"/>
      <c r="I70" s="58" t="s">
        <v>221</v>
      </c>
      <c r="J70" s="158">
        <v>2</v>
      </c>
      <c r="K70" s="59"/>
      <c r="L70" s="41">
        <v>60</v>
      </c>
      <c r="M70" s="60">
        <f t="shared" si="4"/>
        <v>0</v>
      </c>
      <c r="N70" s="50"/>
      <c r="O70" s="63"/>
      <c r="P70" s="63"/>
      <c r="Q70" s="63"/>
    </row>
    <row r="71" spans="1:1023" ht="15.95" customHeight="1">
      <c r="A71" s="42" t="s">
        <v>70</v>
      </c>
      <c r="B71" s="136" t="s">
        <v>112</v>
      </c>
      <c r="C71" s="72"/>
      <c r="D71" s="135">
        <f>C71</f>
        <v>0</v>
      </c>
      <c r="E71" s="64">
        <f>C71</f>
        <v>0</v>
      </c>
      <c r="F71" s="64">
        <f>D71</f>
        <v>0</v>
      </c>
      <c r="G71" s="64"/>
      <c r="I71" s="58" t="s">
        <v>131</v>
      </c>
      <c r="J71" s="158">
        <v>2</v>
      </c>
      <c r="K71" s="59"/>
      <c r="L71" s="41">
        <v>60</v>
      </c>
      <c r="M71" s="60">
        <f t="shared" si="4"/>
        <v>0</v>
      </c>
      <c r="N71" s="50"/>
      <c r="O71" s="50"/>
      <c r="P71" s="50"/>
      <c r="Q71" s="50"/>
    </row>
    <row r="72" spans="1:1023" ht="15" customHeight="1">
      <c r="A72" s="42" t="s">
        <v>90</v>
      </c>
      <c r="B72" s="39" t="s">
        <v>262</v>
      </c>
      <c r="C72" s="71">
        <v>0</v>
      </c>
      <c r="D72" s="64">
        <f>C72</f>
        <v>0</v>
      </c>
      <c r="E72" s="64">
        <f>C72</f>
        <v>0</v>
      </c>
      <c r="F72" s="64">
        <f>D72</f>
        <v>0</v>
      </c>
      <c r="G72" s="64">
        <f>G43*0.07</f>
        <v>0</v>
      </c>
      <c r="I72" s="58" t="s">
        <v>133</v>
      </c>
      <c r="J72" s="158">
        <v>2</v>
      </c>
      <c r="K72" s="59"/>
      <c r="L72" s="41">
        <v>60</v>
      </c>
      <c r="M72" s="60">
        <f t="shared" si="4"/>
        <v>0</v>
      </c>
      <c r="N72" s="50"/>
      <c r="O72" s="50"/>
      <c r="P72" s="50"/>
      <c r="Q72" s="50"/>
    </row>
    <row r="73" spans="1:1023" ht="15" customHeight="1">
      <c r="A73" s="39"/>
      <c r="B73" s="39" t="s">
        <v>78</v>
      </c>
      <c r="C73" s="39"/>
      <c r="D73" s="67">
        <f>SUM(D67:D72)</f>
        <v>198</v>
      </c>
      <c r="E73" s="67">
        <f>SUM(E67:E72)</f>
        <v>198</v>
      </c>
      <c r="F73" s="67">
        <f>SUM(F67:F72)</f>
        <v>198</v>
      </c>
      <c r="G73" s="67">
        <f>SUM(G68:G72)</f>
        <v>476.14060000000001</v>
      </c>
      <c r="I73" s="58" t="s">
        <v>222</v>
      </c>
      <c r="J73" s="158">
        <v>2</v>
      </c>
      <c r="K73" s="59"/>
      <c r="L73" s="41">
        <v>60</v>
      </c>
      <c r="M73" s="60">
        <f t="shared" si="4"/>
        <v>0</v>
      </c>
      <c r="N73" s="50"/>
      <c r="O73" s="50"/>
      <c r="P73" s="50"/>
      <c r="Q73" s="50"/>
    </row>
    <row r="74" spans="1:1023" ht="15.95" customHeight="1">
      <c r="A74" s="253" t="s">
        <v>115</v>
      </c>
      <c r="B74" s="253"/>
      <c r="C74" s="253"/>
      <c r="D74" s="253"/>
      <c r="E74" s="253"/>
      <c r="F74" s="253"/>
      <c r="G74" s="182"/>
      <c r="I74" s="156"/>
      <c r="J74" s="156"/>
      <c r="K74" s="271" t="s">
        <v>137</v>
      </c>
      <c r="L74" s="272"/>
      <c r="M74" s="159">
        <f>SUM(M31:M73)</f>
        <v>0</v>
      </c>
      <c r="N74" s="154"/>
      <c r="O74" s="155"/>
      <c r="P74" s="155"/>
      <c r="Q74" s="154"/>
    </row>
    <row r="75" spans="1:1023" ht="20.85" customHeight="1">
      <c r="A75" s="254" t="s">
        <v>117</v>
      </c>
      <c r="B75" s="254"/>
      <c r="C75" s="254"/>
      <c r="D75" s="254"/>
      <c r="E75" s="254"/>
      <c r="F75" s="254"/>
      <c r="G75" s="182"/>
      <c r="I75" s="156"/>
      <c r="J75" s="156"/>
      <c r="K75" s="156"/>
      <c r="L75" s="156"/>
      <c r="N75" s="156"/>
      <c r="O75" s="156"/>
      <c r="P75" s="156"/>
      <c r="Q75" s="156"/>
    </row>
    <row r="76" spans="1:1023" s="70" customFormat="1" ht="15.95" customHeight="1">
      <c r="A76" s="249" t="s">
        <v>118</v>
      </c>
      <c r="B76" s="250"/>
      <c r="C76" s="250"/>
      <c r="D76" s="250"/>
      <c r="E76" s="250"/>
      <c r="F76" s="250"/>
      <c r="G76" s="251"/>
      <c r="I76" s="156"/>
      <c r="J76" s="156"/>
      <c r="K76" s="156"/>
      <c r="L76" s="156"/>
      <c r="M76" s="156"/>
      <c r="N76" s="156"/>
      <c r="O76" s="156"/>
      <c r="P76" s="156"/>
      <c r="Q76" s="156"/>
      <c r="AMG76"/>
      <c r="AMH76"/>
      <c r="AMI76"/>
    </row>
    <row r="77" spans="1:1023" ht="15" customHeight="1">
      <c r="A77" s="249" t="s">
        <v>119</v>
      </c>
      <c r="B77" s="250"/>
      <c r="C77" s="250"/>
      <c r="D77" s="250"/>
      <c r="E77" s="250"/>
      <c r="F77" s="250"/>
      <c r="G77" s="251"/>
      <c r="I77" s="156"/>
      <c r="J77" s="156"/>
      <c r="K77" s="156"/>
      <c r="L77" s="156"/>
      <c r="M77" s="156"/>
      <c r="N77" s="156"/>
      <c r="O77" s="156"/>
      <c r="P77" s="156"/>
      <c r="Q77" s="156"/>
    </row>
    <row r="78" spans="1:1023" ht="15.95" customHeight="1">
      <c r="A78" s="266" t="s">
        <v>75</v>
      </c>
      <c r="B78" s="266"/>
      <c r="C78" s="266"/>
      <c r="D78" s="64">
        <f>D49</f>
        <v>0</v>
      </c>
      <c r="E78" s="64">
        <f>E49</f>
        <v>0</v>
      </c>
      <c r="F78" s="64">
        <f>F49</f>
        <v>0</v>
      </c>
      <c r="G78" s="64">
        <f>G49</f>
        <v>0</v>
      </c>
      <c r="I78" s="156"/>
      <c r="J78" s="156"/>
      <c r="K78" s="156"/>
      <c r="L78" s="156"/>
      <c r="M78" s="156"/>
      <c r="N78" s="156"/>
      <c r="O78" s="156"/>
      <c r="P78" s="156"/>
      <c r="Q78" s="156"/>
    </row>
    <row r="79" spans="1:1023" ht="24.75" customHeight="1">
      <c r="A79" s="266" t="s">
        <v>121</v>
      </c>
      <c r="B79" s="266"/>
      <c r="C79" s="266"/>
      <c r="D79" s="64">
        <f>D62</f>
        <v>0</v>
      </c>
      <c r="E79" s="64">
        <f>E62</f>
        <v>0</v>
      </c>
      <c r="F79" s="64">
        <f>F62</f>
        <v>0</v>
      </c>
      <c r="G79" s="64">
        <f>G62</f>
        <v>0</v>
      </c>
      <c r="I79" s="156"/>
      <c r="J79" s="156"/>
      <c r="K79" s="156"/>
      <c r="L79" s="156"/>
      <c r="M79" s="156"/>
      <c r="N79" s="156"/>
      <c r="O79" s="156"/>
      <c r="P79" s="156"/>
      <c r="Q79" s="156"/>
    </row>
    <row r="80" spans="1:1023" ht="15.95" customHeight="1">
      <c r="A80" s="266" t="s">
        <v>105</v>
      </c>
      <c r="B80" s="266"/>
      <c r="C80" s="266"/>
      <c r="D80" s="64">
        <f>D73</f>
        <v>198</v>
      </c>
      <c r="E80" s="64">
        <f>E73</f>
        <v>198</v>
      </c>
      <c r="F80" s="64">
        <f>F73</f>
        <v>198</v>
      </c>
      <c r="G80" s="64">
        <f>G73</f>
        <v>476.14060000000001</v>
      </c>
      <c r="I80" s="156"/>
      <c r="J80" s="156"/>
      <c r="K80" s="156"/>
      <c r="L80" s="156"/>
      <c r="M80" s="156"/>
      <c r="N80" s="150"/>
      <c r="O80" s="150"/>
      <c r="P80" s="150"/>
      <c r="Q80" s="150"/>
    </row>
    <row r="81" spans="1:1023" ht="15" customHeight="1">
      <c r="A81" s="39"/>
      <c r="B81" s="39" t="s">
        <v>78</v>
      </c>
      <c r="C81" s="39"/>
      <c r="D81" s="67">
        <f>SUM(D78:D80)</f>
        <v>198</v>
      </c>
      <c r="E81" s="67">
        <f>SUM(E78:E80)</f>
        <v>198</v>
      </c>
      <c r="F81" s="67">
        <f>SUM(F78:F80)</f>
        <v>198</v>
      </c>
      <c r="G81" s="67">
        <f>SUM(G78:G80)</f>
        <v>476.14060000000001</v>
      </c>
      <c r="I81" s="156"/>
      <c r="J81" s="156"/>
      <c r="K81" s="156"/>
      <c r="L81" s="156"/>
      <c r="M81" s="156"/>
      <c r="N81" s="150"/>
      <c r="O81" s="150"/>
      <c r="P81" s="150"/>
      <c r="Q81" s="150"/>
    </row>
    <row r="82" spans="1:1023" ht="15" customHeight="1">
      <c r="A82" s="258"/>
      <c r="B82" s="258"/>
      <c r="C82" s="258"/>
      <c r="D82" s="258"/>
      <c r="E82" s="258"/>
      <c r="F82" s="258"/>
      <c r="G82" s="175"/>
      <c r="I82" s="156"/>
      <c r="J82" s="156"/>
      <c r="K82" s="156"/>
      <c r="L82" s="156"/>
      <c r="M82" s="156"/>
      <c r="N82" s="150"/>
      <c r="O82" s="150"/>
      <c r="P82" s="150"/>
      <c r="Q82" s="150"/>
    </row>
    <row r="83" spans="1:1023" ht="15.95" customHeight="1">
      <c r="A83" s="249" t="s">
        <v>122</v>
      </c>
      <c r="B83" s="250"/>
      <c r="C83" s="250"/>
      <c r="D83" s="250"/>
      <c r="E83" s="250"/>
      <c r="F83" s="250"/>
      <c r="G83" s="251"/>
      <c r="I83" s="156"/>
      <c r="J83" s="156"/>
      <c r="K83" s="156"/>
      <c r="L83" s="156"/>
      <c r="M83" s="156"/>
      <c r="N83" s="150"/>
      <c r="O83" s="150"/>
      <c r="P83" s="150"/>
      <c r="Q83" s="150"/>
    </row>
    <row r="84" spans="1:1023" s="70" customFormat="1" ht="14.25" customHeight="1">
      <c r="A84" s="42" t="s">
        <v>60</v>
      </c>
      <c r="B84" s="39" t="s">
        <v>123</v>
      </c>
      <c r="C84" s="74">
        <v>4.5999999999999999E-3</v>
      </c>
      <c r="D84" s="64">
        <f>$C$84*D43</f>
        <v>0</v>
      </c>
      <c r="E84" s="64">
        <f>$C$84*E43</f>
        <v>0</v>
      </c>
      <c r="F84" s="64">
        <f>$C$84*F43</f>
        <v>0</v>
      </c>
      <c r="G84" s="64">
        <f>C84*G43</f>
        <v>0</v>
      </c>
      <c r="I84" s="156"/>
      <c r="J84" s="156"/>
      <c r="K84" s="156"/>
      <c r="L84" s="156"/>
      <c r="M84" s="156"/>
      <c r="N84" s="150"/>
      <c r="O84" s="150"/>
      <c r="P84" s="150"/>
      <c r="Q84" s="150"/>
      <c r="AMG84"/>
      <c r="AMH84"/>
      <c r="AMI84"/>
    </row>
    <row r="85" spans="1:1023" s="70" customFormat="1" ht="24" customHeight="1">
      <c r="A85" s="42" t="s">
        <v>62</v>
      </c>
      <c r="B85" s="136" t="s">
        <v>125</v>
      </c>
      <c r="C85" s="193">
        <f>C61*C84</f>
        <v>3.68E-4</v>
      </c>
      <c r="D85" s="135">
        <f>$C$85*D43</f>
        <v>0</v>
      </c>
      <c r="E85" s="135">
        <f>$C$85*E43</f>
        <v>0</v>
      </c>
      <c r="F85" s="135">
        <f>$C$85*F43</f>
        <v>0</v>
      </c>
      <c r="G85" s="135">
        <f>C85*G43</f>
        <v>0</v>
      </c>
      <c r="I85" s="156"/>
      <c r="J85" s="156"/>
      <c r="K85" s="156"/>
      <c r="L85" s="156"/>
      <c r="M85" s="156"/>
      <c r="N85" s="150"/>
      <c r="O85" s="150"/>
      <c r="P85" s="150"/>
      <c r="Q85" s="150"/>
      <c r="AMG85"/>
      <c r="AMH85"/>
      <c r="AMI85"/>
    </row>
    <row r="86" spans="1:1023" s="70" customFormat="1" ht="24" customHeight="1">
      <c r="A86" s="42" t="s">
        <v>64</v>
      </c>
      <c r="B86" s="39" t="s">
        <v>126</v>
      </c>
      <c r="C86" s="74">
        <v>3.4700000000000002E-2</v>
      </c>
      <c r="D86" s="64">
        <f>$C$86*D43</f>
        <v>0</v>
      </c>
      <c r="E86" s="64">
        <f>$C$86*E43</f>
        <v>0</v>
      </c>
      <c r="F86" s="64">
        <f>$C$86*F43</f>
        <v>0</v>
      </c>
      <c r="G86" s="135">
        <f>C86*G43</f>
        <v>0</v>
      </c>
      <c r="I86" s="156"/>
      <c r="J86" s="156"/>
      <c r="K86" s="156"/>
      <c r="L86" s="156"/>
      <c r="M86" s="156"/>
      <c r="N86" s="150"/>
      <c r="O86" s="150"/>
      <c r="P86" s="150"/>
      <c r="Q86" s="150"/>
      <c r="AMG86"/>
      <c r="AMH86"/>
      <c r="AMI86"/>
    </row>
    <row r="87" spans="1:1023" ht="15" customHeight="1">
      <c r="A87" s="42" t="s">
        <v>67</v>
      </c>
      <c r="B87" s="39" t="s">
        <v>128</v>
      </c>
      <c r="C87" s="74">
        <v>1.9400000000000001E-2</v>
      </c>
      <c r="D87" s="64">
        <f>$C$87*D43</f>
        <v>0</v>
      </c>
      <c r="E87" s="64">
        <f>$C$87*E43</f>
        <v>0</v>
      </c>
      <c r="F87" s="64">
        <f>$C$87*F43</f>
        <v>0</v>
      </c>
      <c r="G87" s="135">
        <f>C87*G43</f>
        <v>0</v>
      </c>
      <c r="I87" s="156"/>
      <c r="J87" s="156"/>
      <c r="K87" s="156"/>
      <c r="L87" s="156"/>
      <c r="M87" s="156"/>
      <c r="N87" s="150"/>
      <c r="O87" s="150"/>
      <c r="P87" s="150"/>
      <c r="Q87" s="150"/>
    </row>
    <row r="88" spans="1:1023" ht="36">
      <c r="A88" s="42" t="s">
        <v>70</v>
      </c>
      <c r="B88" s="39" t="s">
        <v>129</v>
      </c>
      <c r="C88" s="74">
        <v>7.1000000000000004E-3</v>
      </c>
      <c r="D88" s="64">
        <f>$C$88*D43</f>
        <v>0</v>
      </c>
      <c r="E88" s="64">
        <f>$C$88*E43</f>
        <v>0</v>
      </c>
      <c r="F88" s="64">
        <f>$C$88*F43</f>
        <v>0</v>
      </c>
      <c r="G88" s="135">
        <f>C88*G43</f>
        <v>0</v>
      </c>
      <c r="I88" s="156"/>
      <c r="J88" s="156"/>
      <c r="K88" s="156"/>
      <c r="L88" s="156"/>
      <c r="M88" s="156"/>
      <c r="N88" s="150"/>
      <c r="O88" s="150"/>
      <c r="P88" s="150"/>
      <c r="Q88" s="150"/>
    </row>
    <row r="89" spans="1:1023" ht="24">
      <c r="A89" s="42" t="s">
        <v>90</v>
      </c>
      <c r="B89" s="39" t="s">
        <v>130</v>
      </c>
      <c r="C89" s="74">
        <v>5.3E-3</v>
      </c>
      <c r="D89" s="64">
        <f>$C$89*D43</f>
        <v>0</v>
      </c>
      <c r="E89" s="64">
        <f>$C$89*E43</f>
        <v>0</v>
      </c>
      <c r="F89" s="64">
        <f>$C$89*F43</f>
        <v>0</v>
      </c>
      <c r="G89" s="135">
        <f>C89*G43</f>
        <v>0</v>
      </c>
      <c r="I89" s="156"/>
      <c r="J89" s="156"/>
      <c r="K89" s="156"/>
      <c r="L89" s="156"/>
      <c r="M89" s="156"/>
      <c r="N89" s="150"/>
      <c r="O89" s="150"/>
      <c r="P89" s="150"/>
      <c r="Q89" s="150"/>
    </row>
    <row r="90" spans="1:1023" ht="15" customHeight="1">
      <c r="A90" s="39"/>
      <c r="B90" s="39" t="s">
        <v>78</v>
      </c>
      <c r="C90" s="69">
        <f t="shared" ref="C90:F90" si="6">SUM(C84:C89)</f>
        <v>7.1468000000000004E-2</v>
      </c>
      <c r="D90" s="67">
        <f t="shared" si="6"/>
        <v>0</v>
      </c>
      <c r="E90" s="67">
        <f t="shared" si="6"/>
        <v>0</v>
      </c>
      <c r="F90" s="67">
        <f t="shared" si="6"/>
        <v>0</v>
      </c>
      <c r="G90" s="67">
        <f>SUM(G84:G89)</f>
        <v>0</v>
      </c>
      <c r="I90" s="156"/>
      <c r="J90" s="156"/>
      <c r="K90" s="156"/>
      <c r="L90" s="156"/>
      <c r="M90" s="156"/>
      <c r="N90" s="150"/>
      <c r="O90" s="150"/>
      <c r="P90" s="150"/>
      <c r="Q90" s="150"/>
    </row>
    <row r="91" spans="1:1023" ht="15" customHeight="1">
      <c r="A91" s="258"/>
      <c r="B91" s="258"/>
      <c r="C91" s="258"/>
      <c r="D91" s="258"/>
      <c r="E91" s="258"/>
      <c r="F91" s="258"/>
      <c r="G91" s="175"/>
      <c r="I91" s="156"/>
      <c r="J91" s="156"/>
      <c r="K91" s="156"/>
      <c r="L91" s="156"/>
      <c r="M91" s="156"/>
      <c r="N91" s="150"/>
      <c r="O91" s="150"/>
      <c r="P91" s="150"/>
      <c r="Q91" s="150"/>
    </row>
    <row r="92" spans="1:1023" ht="15.95" customHeight="1">
      <c r="A92" s="249" t="s">
        <v>132</v>
      </c>
      <c r="B92" s="250"/>
      <c r="C92" s="250"/>
      <c r="D92" s="250"/>
      <c r="E92" s="250"/>
      <c r="F92" s="250"/>
      <c r="G92" s="251"/>
      <c r="I92" s="156"/>
      <c r="J92" s="156"/>
      <c r="K92" s="156"/>
      <c r="L92" s="156"/>
      <c r="M92" s="156"/>
      <c r="N92" s="150"/>
      <c r="O92" s="150"/>
      <c r="P92" s="150"/>
      <c r="Q92" s="150"/>
    </row>
    <row r="93" spans="1:1023" ht="22.5" customHeight="1">
      <c r="A93" s="265" t="s">
        <v>134</v>
      </c>
      <c r="B93" s="265"/>
      <c r="C93" s="265"/>
      <c r="D93" s="265"/>
      <c r="E93" s="265"/>
      <c r="F93" s="265"/>
      <c r="G93" s="190"/>
      <c r="I93" s="156"/>
      <c r="J93" s="156"/>
      <c r="K93" s="156"/>
      <c r="L93" s="156"/>
      <c r="M93" s="156"/>
      <c r="N93" s="150"/>
      <c r="O93" s="150"/>
      <c r="P93" s="150"/>
      <c r="Q93" s="150"/>
    </row>
    <row r="94" spans="1:1023" s="70" customFormat="1" ht="15.95" customHeight="1">
      <c r="A94" s="252" t="s">
        <v>135</v>
      </c>
      <c r="B94" s="252"/>
      <c r="C94" s="252"/>
      <c r="D94" s="252"/>
      <c r="E94" s="252"/>
      <c r="F94" s="262"/>
      <c r="G94" s="167"/>
      <c r="I94" s="156"/>
      <c r="J94" s="156"/>
      <c r="K94" s="156"/>
      <c r="L94" s="156"/>
      <c r="M94" s="156"/>
      <c r="N94" s="138"/>
      <c r="O94" s="138"/>
      <c r="P94" s="138"/>
      <c r="Q94" s="138"/>
      <c r="AMG94"/>
      <c r="AMH94"/>
      <c r="AMI94"/>
    </row>
    <row r="95" spans="1:1023" s="70" customFormat="1" ht="15.95" customHeight="1">
      <c r="A95" s="42" t="s">
        <v>60</v>
      </c>
      <c r="B95" s="39" t="s">
        <v>136</v>
      </c>
      <c r="C95" s="74">
        <v>9.3200000000000005E-2</v>
      </c>
      <c r="D95" s="64">
        <f>$C95*D43</f>
        <v>0</v>
      </c>
      <c r="E95" s="64">
        <f>$C95*E43</f>
        <v>0</v>
      </c>
      <c r="F95" s="185">
        <f>$C95*F43</f>
        <v>0</v>
      </c>
      <c r="G95" s="64">
        <f>C95*G43</f>
        <v>0</v>
      </c>
      <c r="I95" s="156"/>
      <c r="J95" s="156"/>
      <c r="K95" s="156"/>
      <c r="L95" s="156"/>
      <c r="M95" s="156"/>
      <c r="N95" s="157"/>
      <c r="O95" s="157"/>
      <c r="P95" s="157"/>
      <c r="Q95" s="157"/>
      <c r="AMG95"/>
      <c r="AMH95"/>
      <c r="AMI95"/>
    </row>
    <row r="96" spans="1:1023" s="70" customFormat="1" ht="14.25" customHeight="1">
      <c r="A96" s="42" t="s">
        <v>62</v>
      </c>
      <c r="B96" s="39" t="s">
        <v>138</v>
      </c>
      <c r="C96" s="74">
        <v>3.3E-3</v>
      </c>
      <c r="D96" s="64">
        <f>$C96*D43</f>
        <v>0</v>
      </c>
      <c r="E96" s="64">
        <f>$C96*E43</f>
        <v>0</v>
      </c>
      <c r="F96" s="185">
        <f>$C96*F43</f>
        <v>0</v>
      </c>
      <c r="G96" s="64">
        <f>C96*G43</f>
        <v>0</v>
      </c>
      <c r="I96" s="30"/>
      <c r="J96" s="31"/>
      <c r="K96" s="32"/>
      <c r="L96" s="29"/>
      <c r="M96" s="29"/>
      <c r="N96" s="29"/>
      <c r="O96" s="29"/>
      <c r="P96" s="29"/>
      <c r="Q96" s="29"/>
      <c r="AMG96"/>
      <c r="AMH96"/>
      <c r="AMI96"/>
    </row>
    <row r="97" spans="1:1023" s="70" customFormat="1" ht="22.5" customHeight="1">
      <c r="A97" s="42" t="s">
        <v>64</v>
      </c>
      <c r="B97" s="39" t="s">
        <v>139</v>
      </c>
      <c r="C97" s="74">
        <f>5/30/12*0.015</f>
        <v>2.0833333333333332E-4</v>
      </c>
      <c r="D97" s="64">
        <f>C97*D43</f>
        <v>0</v>
      </c>
      <c r="E97" s="64">
        <f>C97*E43</f>
        <v>0</v>
      </c>
      <c r="F97" s="185">
        <f>C97*F43</f>
        <v>0</v>
      </c>
      <c r="G97" s="64">
        <f>C97*G43</f>
        <v>0</v>
      </c>
      <c r="I97" s="30"/>
      <c r="J97" s="31"/>
      <c r="K97" s="32"/>
      <c r="L97" s="29"/>
      <c r="M97" s="29"/>
      <c r="N97" s="29"/>
      <c r="O97" s="29"/>
      <c r="P97" s="29"/>
      <c r="Q97" s="29"/>
      <c r="AMG97"/>
      <c r="AMH97"/>
      <c r="AMI97"/>
    </row>
    <row r="98" spans="1:1023" s="70" customFormat="1" ht="24" customHeight="1">
      <c r="A98" s="42" t="s">
        <v>67</v>
      </c>
      <c r="B98" s="39" t="s">
        <v>140</v>
      </c>
      <c r="C98" s="75">
        <v>4.0000000000000002E-4</v>
      </c>
      <c r="D98" s="76">
        <f>C98*D43</f>
        <v>0</v>
      </c>
      <c r="E98" s="76">
        <f>C98*E43</f>
        <v>0</v>
      </c>
      <c r="F98" s="186">
        <f>C98*F43</f>
        <v>0</v>
      </c>
      <c r="G98" s="64">
        <f>C98*G43</f>
        <v>0</v>
      </c>
      <c r="I98" s="30"/>
      <c r="J98" s="31"/>
      <c r="K98" s="32"/>
      <c r="L98" s="29"/>
      <c r="M98" s="29"/>
      <c r="N98" s="29"/>
      <c r="O98" s="29"/>
      <c r="P98" s="29"/>
      <c r="Q98" s="29"/>
      <c r="AMG98"/>
      <c r="AMH98"/>
      <c r="AMI98"/>
    </row>
    <row r="99" spans="1:1023" s="70" customFormat="1" ht="23.45" customHeight="1">
      <c r="A99" s="42" t="s">
        <v>70</v>
      </c>
      <c r="B99" s="28" t="s">
        <v>141</v>
      </c>
      <c r="C99" s="69">
        <v>0</v>
      </c>
      <c r="D99" s="77">
        <f>C102*D43</f>
        <v>0</v>
      </c>
      <c r="E99" s="77">
        <f>D99*E43</f>
        <v>0</v>
      </c>
      <c r="F99" s="187">
        <f>C99*F43</f>
        <v>0</v>
      </c>
      <c r="G99" s="64">
        <f>C99*G43</f>
        <v>0</v>
      </c>
      <c r="I99" s="30"/>
      <c r="J99" s="31"/>
      <c r="K99" s="32"/>
      <c r="L99" s="29"/>
      <c r="M99" s="29"/>
      <c r="N99" s="29"/>
      <c r="O99" s="29"/>
      <c r="P99" s="29"/>
      <c r="Q99" s="29"/>
      <c r="AMG99"/>
      <c r="AMH99"/>
      <c r="AMI99"/>
    </row>
    <row r="100" spans="1:1023" s="70" customFormat="1" ht="20.25" customHeight="1">
      <c r="A100" s="42" t="s">
        <v>90</v>
      </c>
      <c r="B100" s="39" t="s">
        <v>142</v>
      </c>
      <c r="C100" s="78">
        <v>0</v>
      </c>
      <c r="D100" s="79">
        <f>C100*D43</f>
        <v>0</v>
      </c>
      <c r="E100" s="79">
        <f>C100*E43</f>
        <v>0</v>
      </c>
      <c r="F100" s="188">
        <f>C100*F43</f>
        <v>0</v>
      </c>
      <c r="G100" s="64">
        <f t="shared" ref="G100" si="7">C100*G48</f>
        <v>0</v>
      </c>
      <c r="I100" s="30"/>
      <c r="J100" s="31"/>
      <c r="K100" s="32"/>
      <c r="L100" s="29"/>
      <c r="M100" s="29"/>
      <c r="N100" s="29"/>
      <c r="O100" s="29"/>
      <c r="P100" s="29"/>
      <c r="Q100" s="29"/>
      <c r="AMG100"/>
      <c r="AMH100"/>
      <c r="AMI100"/>
    </row>
    <row r="101" spans="1:1023" s="70" customFormat="1" ht="24" customHeight="1">
      <c r="A101" s="42"/>
      <c r="B101" s="39" t="s">
        <v>5</v>
      </c>
      <c r="C101" s="78">
        <f t="shared" ref="C101:F101" si="8">SUM(C95:C100)</f>
        <v>9.7108333333333338E-2</v>
      </c>
      <c r="D101" s="79">
        <f t="shared" si="8"/>
        <v>0</v>
      </c>
      <c r="E101" s="79">
        <f t="shared" si="8"/>
        <v>0</v>
      </c>
      <c r="F101" s="188">
        <f t="shared" si="8"/>
        <v>0</v>
      </c>
      <c r="G101" s="64">
        <f>C101*G43</f>
        <v>0</v>
      </c>
      <c r="I101" s="30"/>
      <c r="J101" s="31"/>
      <c r="K101" s="32"/>
      <c r="L101" s="29"/>
      <c r="M101" s="29"/>
      <c r="N101" s="29"/>
      <c r="O101" s="29"/>
      <c r="P101" s="29"/>
      <c r="Q101" s="29"/>
      <c r="AMG101"/>
      <c r="AMH101"/>
      <c r="AMI101"/>
    </row>
    <row r="102" spans="1:1023" s="70" customFormat="1" ht="17.850000000000001" customHeight="1">
      <c r="A102" s="42"/>
      <c r="B102" s="39" t="s">
        <v>143</v>
      </c>
      <c r="C102" s="78"/>
      <c r="D102" s="79">
        <f>$C$62*D101</f>
        <v>0</v>
      </c>
      <c r="E102" s="79">
        <f>$C$62*E101</f>
        <v>0</v>
      </c>
      <c r="F102" s="188">
        <f>$C$62*F101</f>
        <v>0</v>
      </c>
      <c r="G102" s="191">
        <f>C62*G101</f>
        <v>0</v>
      </c>
      <c r="I102" s="30"/>
      <c r="J102" s="31"/>
      <c r="K102" s="32"/>
      <c r="L102" s="29"/>
      <c r="M102" s="29"/>
      <c r="N102" s="29"/>
      <c r="O102" s="29"/>
      <c r="P102" s="29"/>
      <c r="Q102" s="29"/>
      <c r="AMG102"/>
      <c r="AMH102"/>
      <c r="AMI102"/>
    </row>
    <row r="103" spans="1:1023" ht="15" customHeight="1">
      <c r="A103" s="39"/>
      <c r="B103" s="39" t="s">
        <v>78</v>
      </c>
      <c r="C103" s="69">
        <f>(C95+C96+C97+C98+C99+C100)+(C95+C96+C97+C98+C99+C100)*0.368</f>
        <v>0.1328442</v>
      </c>
      <c r="D103" s="67">
        <f>D101+D102</f>
        <v>0</v>
      </c>
      <c r="E103" s="67">
        <f>E101+E102</f>
        <v>0</v>
      </c>
      <c r="F103" s="189">
        <f>F101+F102</f>
        <v>0</v>
      </c>
      <c r="G103" s="64">
        <f>G101+G102</f>
        <v>0</v>
      </c>
    </row>
    <row r="104" spans="1:1023" s="70" customFormat="1" ht="14.25" customHeight="1">
      <c r="A104" s="258"/>
      <c r="B104" s="258"/>
      <c r="C104" s="258"/>
      <c r="D104" s="258"/>
      <c r="E104" s="258"/>
      <c r="F104" s="258"/>
      <c r="G104" s="175"/>
      <c r="I104" s="30"/>
      <c r="J104" s="31"/>
      <c r="K104" s="32"/>
      <c r="L104" s="29"/>
      <c r="M104" s="29"/>
      <c r="N104" s="29"/>
      <c r="O104" s="29"/>
      <c r="P104" s="29"/>
      <c r="Q104" s="29"/>
      <c r="AMG104"/>
      <c r="AMH104"/>
      <c r="AMI104"/>
    </row>
    <row r="105" spans="1:1023" s="70" customFormat="1" ht="15.95" customHeight="1">
      <c r="A105" s="249" t="s">
        <v>144</v>
      </c>
      <c r="B105" s="250"/>
      <c r="C105" s="250"/>
      <c r="D105" s="250"/>
      <c r="E105" s="250"/>
      <c r="F105" s="250"/>
      <c r="G105" s="251"/>
      <c r="I105" s="30"/>
      <c r="J105" s="31"/>
      <c r="K105" s="32"/>
      <c r="L105" s="29"/>
      <c r="M105" s="29"/>
      <c r="N105" s="29"/>
      <c r="O105" s="29"/>
      <c r="P105" s="29"/>
      <c r="Q105" s="29"/>
      <c r="AMG105"/>
      <c r="AMH105"/>
      <c r="AMI105"/>
    </row>
    <row r="106" spans="1:1023" ht="15" customHeight="1">
      <c r="A106" s="80" t="s">
        <v>60</v>
      </c>
      <c r="B106" s="136" t="s">
        <v>145</v>
      </c>
      <c r="C106" s="64">
        <f>N19</f>
        <v>0</v>
      </c>
      <c r="D106" s="64">
        <f>C106</f>
        <v>0</v>
      </c>
      <c r="E106" s="64">
        <f>C106</f>
        <v>0</v>
      </c>
      <c r="F106" s="64">
        <f>C106</f>
        <v>0</v>
      </c>
      <c r="G106" s="64">
        <f>C106</f>
        <v>0</v>
      </c>
    </row>
    <row r="107" spans="1:1023" ht="15" customHeight="1">
      <c r="A107" s="80" t="s">
        <v>62</v>
      </c>
      <c r="B107" s="136" t="s">
        <v>146</v>
      </c>
      <c r="C107" s="64">
        <f>M74</f>
        <v>0</v>
      </c>
      <c r="D107" s="64">
        <f>$C$107/$D$20</f>
        <v>0</v>
      </c>
      <c r="E107" s="64">
        <f>$C$107/$D$20</f>
        <v>0</v>
      </c>
      <c r="F107" s="64">
        <f>$C$107/$D$20</f>
        <v>0</v>
      </c>
      <c r="G107" s="64">
        <f>C107/D20</f>
        <v>0</v>
      </c>
    </row>
    <row r="108" spans="1:1023" ht="15" customHeight="1">
      <c r="A108" s="80" t="s">
        <v>64</v>
      </c>
      <c r="B108" s="142" t="s">
        <v>263</v>
      </c>
      <c r="C108" s="81"/>
      <c r="D108" s="64">
        <f>C108/3</f>
        <v>0</v>
      </c>
      <c r="E108" s="64">
        <f>C108/3</f>
        <v>0</v>
      </c>
      <c r="F108" s="64">
        <f>C108/3</f>
        <v>0</v>
      </c>
      <c r="G108" s="64"/>
    </row>
    <row r="109" spans="1:1023" ht="15" customHeight="1">
      <c r="A109" s="80" t="s">
        <v>67</v>
      </c>
      <c r="B109" s="136" t="s">
        <v>147</v>
      </c>
      <c r="C109" s="64"/>
      <c r="D109" s="64">
        <f>C109/4</f>
        <v>0</v>
      </c>
      <c r="E109" s="64">
        <f>C109/4</f>
        <v>0</v>
      </c>
      <c r="F109" s="64">
        <f>C109/4</f>
        <v>0</v>
      </c>
      <c r="G109" s="64">
        <f>C109/4</f>
        <v>0</v>
      </c>
    </row>
    <row r="110" spans="1:1023" ht="15" customHeight="1">
      <c r="A110" s="80" t="s">
        <v>70</v>
      </c>
      <c r="B110" s="136" t="s">
        <v>148</v>
      </c>
      <c r="C110" s="195"/>
      <c r="D110" s="64"/>
      <c r="E110" s="64"/>
      <c r="F110" s="64"/>
      <c r="G110" s="64"/>
    </row>
    <row r="111" spans="1:1023" s="70" customFormat="1" ht="24" customHeight="1">
      <c r="A111" s="80" t="s">
        <v>90</v>
      </c>
      <c r="B111" s="142" t="s">
        <v>199</v>
      </c>
      <c r="C111" s="64"/>
      <c r="D111" s="64">
        <f>C111/D20</f>
        <v>0</v>
      </c>
      <c r="E111" s="64">
        <f>C111/D20</f>
        <v>0</v>
      </c>
      <c r="F111" s="64">
        <f>C111/D20</f>
        <v>0</v>
      </c>
      <c r="G111" s="64"/>
      <c r="I111" s="30"/>
      <c r="J111" s="31"/>
      <c r="K111" s="32"/>
      <c r="L111" s="29"/>
      <c r="M111" s="29"/>
      <c r="N111" s="29"/>
      <c r="O111" s="29"/>
      <c r="P111" s="29"/>
      <c r="Q111" s="29"/>
      <c r="AMG111"/>
      <c r="AMH111"/>
      <c r="AMI111"/>
    </row>
    <row r="112" spans="1:1023" ht="15" customHeight="1">
      <c r="A112" s="80" t="s">
        <v>93</v>
      </c>
      <c r="B112" s="142" t="s">
        <v>71</v>
      </c>
      <c r="C112" s="71">
        <v>0</v>
      </c>
      <c r="D112" s="64">
        <f>C112</f>
        <v>0</v>
      </c>
      <c r="E112" s="64">
        <f>C112</f>
        <v>0</v>
      </c>
      <c r="F112" s="64">
        <f>C112</f>
        <v>0</v>
      </c>
      <c r="G112" s="64"/>
    </row>
    <row r="113" spans="1:10" ht="15" customHeight="1">
      <c r="A113" s="82"/>
      <c r="B113" s="136" t="s">
        <v>78</v>
      </c>
      <c r="C113" s="64">
        <f t="shared" ref="C113:F113" si="9">SUM(C106:C112)</f>
        <v>0</v>
      </c>
      <c r="D113" s="67">
        <f t="shared" si="9"/>
        <v>0</v>
      </c>
      <c r="E113" s="67">
        <f t="shared" si="9"/>
        <v>0</v>
      </c>
      <c r="F113" s="67">
        <f t="shared" si="9"/>
        <v>0</v>
      </c>
      <c r="G113" s="67">
        <f>SUM(G106:G112)</f>
        <v>0</v>
      </c>
    </row>
    <row r="114" spans="1:10" ht="15.95" customHeight="1">
      <c r="A114" s="261" t="s">
        <v>149</v>
      </c>
      <c r="B114" s="261"/>
      <c r="C114" s="261"/>
      <c r="D114" s="261"/>
      <c r="E114" s="261"/>
      <c r="F114" s="261"/>
      <c r="G114" s="183"/>
    </row>
    <row r="115" spans="1:10" ht="15.95" customHeight="1">
      <c r="A115" s="252" t="s">
        <v>150</v>
      </c>
      <c r="B115" s="252"/>
      <c r="C115" s="252"/>
      <c r="D115" s="252"/>
      <c r="E115" s="252"/>
      <c r="F115" s="262"/>
      <c r="G115" s="172"/>
    </row>
    <row r="116" spans="1:10" ht="23.45" customHeight="1">
      <c r="A116" s="42" t="s">
        <v>60</v>
      </c>
      <c r="B116" s="39" t="s">
        <v>151</v>
      </c>
      <c r="C116" s="74">
        <v>3.5400000000000001E-2</v>
      </c>
      <c r="D116" s="64">
        <f>(C116*D133)</f>
        <v>7.0091999999999999</v>
      </c>
      <c r="E116" s="64">
        <f>(C116*E133)</f>
        <v>7.0091999999999999</v>
      </c>
      <c r="F116" s="185">
        <f>(C116*F133)</f>
        <v>7.0091999999999999</v>
      </c>
      <c r="G116" s="64">
        <f>C116*G133</f>
        <v>16.855377239999999</v>
      </c>
    </row>
    <row r="117" spans="1:10" ht="15" customHeight="1">
      <c r="A117" s="42" t="s">
        <v>62</v>
      </c>
      <c r="B117" s="39" t="s">
        <v>152</v>
      </c>
      <c r="C117" s="74">
        <v>6.5000000000000002E-2</v>
      </c>
      <c r="D117" s="64">
        <f>C117*(D133+D116)</f>
        <v>13.325597999999999</v>
      </c>
      <c r="E117" s="64">
        <f>C117*(E133+E116)</f>
        <v>13.325597999999999</v>
      </c>
      <c r="F117" s="185">
        <f>C117*(F133+F116)</f>
        <v>13.325597999999999</v>
      </c>
      <c r="G117" s="64">
        <f>C117*(G133+G116)</f>
        <v>32.044738520599999</v>
      </c>
      <c r="I117" s="83"/>
    </row>
    <row r="118" spans="1:10" ht="15" customHeight="1">
      <c r="A118" s="42" t="s">
        <v>64</v>
      </c>
      <c r="B118" s="39" t="s">
        <v>153</v>
      </c>
      <c r="C118" s="84">
        <f>C119+C122</f>
        <v>7.6499999999999999E-2</v>
      </c>
      <c r="D118" s="64"/>
      <c r="E118" s="64"/>
      <c r="F118" s="185"/>
      <c r="G118" s="64"/>
    </row>
    <row r="119" spans="1:10" ht="15" customHeight="1">
      <c r="A119" s="39"/>
      <c r="B119" s="39" t="s">
        <v>154</v>
      </c>
      <c r="C119" s="84">
        <f>C120+C121</f>
        <v>3.6499999999999998E-2</v>
      </c>
      <c r="D119" s="64"/>
      <c r="E119" s="64"/>
      <c r="F119" s="185"/>
      <c r="G119" s="64"/>
    </row>
    <row r="120" spans="1:10" ht="15" customHeight="1">
      <c r="A120" s="39"/>
      <c r="B120" s="39" t="s">
        <v>155</v>
      </c>
      <c r="C120" s="65">
        <v>6.4999999999999997E-3</v>
      </c>
      <c r="D120" s="64">
        <f>((D133+D116+D117)/(1-C118)*C120)</f>
        <v>1.5367365316729829</v>
      </c>
      <c r="E120" s="64">
        <f>((E133+E116+E117)/(1-C118)*C120)</f>
        <v>1.5367365316729829</v>
      </c>
      <c r="F120" s="185">
        <f>((F133+F116+F117)/(1-C118)*C120)</f>
        <v>1.5367365316729829</v>
      </c>
      <c r="G120" s="64">
        <f>((G132+G113+G116)/(1-C118)*C120)</f>
        <v>0.1186355734271792</v>
      </c>
    </row>
    <row r="121" spans="1:10" ht="15" customHeight="1">
      <c r="A121" s="39"/>
      <c r="B121" s="39" t="s">
        <v>156</v>
      </c>
      <c r="C121" s="65">
        <v>0.03</v>
      </c>
      <c r="D121" s="64">
        <f>((D133+D116+D117)/(1-C118)*C121)</f>
        <v>7.0926301461829979</v>
      </c>
      <c r="E121" s="64">
        <f>((E133+E116+E117)/(1-C118)*C121)</f>
        <v>7.0926301461829979</v>
      </c>
      <c r="F121" s="185">
        <f>((F133+F116+F117)/(1-C118)*C121)</f>
        <v>7.0926301461829979</v>
      </c>
      <c r="G121" s="64">
        <f>((G133+G114+G117)/(1-C118)*C122)</f>
        <v>22.011276167649161</v>
      </c>
    </row>
    <row r="122" spans="1:10" ht="15" customHeight="1">
      <c r="A122" s="39"/>
      <c r="B122" s="39" t="s">
        <v>261</v>
      </c>
      <c r="C122" s="65">
        <v>0.04</v>
      </c>
      <c r="D122" s="64">
        <f>(D133+D116+D117)/(1-C118)*C122</f>
        <v>9.4568401949106651</v>
      </c>
      <c r="E122" s="64">
        <f>(E133+E116+E117)/(1-C118)*C122</f>
        <v>9.4568401949106651</v>
      </c>
      <c r="F122" s="194">
        <f>(F133+F116+F117)/(1-C118)*C122</f>
        <v>9.4568401949106651</v>
      </c>
      <c r="G122" s="64">
        <f>(G133+G113+G117)/(1-C118)*C122</f>
        <v>22.011276167649161</v>
      </c>
    </row>
    <row r="123" spans="1:10" ht="15" customHeight="1">
      <c r="A123" s="39"/>
      <c r="B123" s="39" t="s">
        <v>78</v>
      </c>
      <c r="C123" s="39"/>
      <c r="D123" s="67">
        <f>SUM(D116:D122)</f>
        <v>38.421004872766645</v>
      </c>
      <c r="E123" s="67">
        <f>SUM(E116:E122)</f>
        <v>38.421004872766645</v>
      </c>
      <c r="F123" s="189">
        <f>SUM(F116:F122)</f>
        <v>38.421004872766645</v>
      </c>
      <c r="G123" s="67">
        <f>SUM(G116:G122)</f>
        <v>93.041303669325501</v>
      </c>
      <c r="I123" s="85"/>
    </row>
    <row r="124" spans="1:10" ht="15.95" customHeight="1">
      <c r="A124" s="263" t="s">
        <v>157</v>
      </c>
      <c r="B124" s="263"/>
      <c r="C124" s="263"/>
      <c r="D124" s="263"/>
      <c r="E124" s="263"/>
      <c r="F124" s="263"/>
      <c r="G124" s="184"/>
    </row>
    <row r="125" spans="1:10" ht="15.95" customHeight="1">
      <c r="A125" s="264" t="s">
        <v>200</v>
      </c>
      <c r="B125" s="264"/>
      <c r="C125" s="264"/>
      <c r="D125" s="264"/>
      <c r="E125" s="264"/>
      <c r="F125" s="264"/>
      <c r="G125" s="181"/>
      <c r="I125" s="86"/>
      <c r="J125" s="87"/>
    </row>
    <row r="126" spans="1:10" ht="15.95" customHeight="1">
      <c r="A126" s="252" t="s">
        <v>158</v>
      </c>
      <c r="B126" s="252"/>
      <c r="C126" s="252"/>
      <c r="D126" s="252"/>
      <c r="E126" s="252"/>
      <c r="F126" s="252"/>
      <c r="G126" s="192"/>
      <c r="I126" s="86"/>
    </row>
    <row r="127" spans="1:10" ht="37.9" customHeight="1">
      <c r="A127" s="256" t="s">
        <v>159</v>
      </c>
      <c r="B127" s="256"/>
      <c r="C127" s="256"/>
      <c r="D127" s="37" t="str">
        <f>D26</f>
        <v>Eletricista Predial-Foz</v>
      </c>
      <c r="E127" s="37" t="str">
        <f>E26</f>
        <v>Tecnico eletrônico - Foz</v>
      </c>
      <c r="F127" s="37" t="str">
        <f>F26</f>
        <v>Oficial de Manutenção – FOZ</v>
      </c>
      <c r="G127" s="37" t="str">
        <f>G26</f>
        <v>Técnico eletrônico-DCA</v>
      </c>
      <c r="I127" s="86"/>
    </row>
    <row r="128" spans="1:10" ht="15" customHeight="1">
      <c r="A128" s="42" t="s">
        <v>60</v>
      </c>
      <c r="B128" s="39" t="s">
        <v>160</v>
      </c>
      <c r="C128" s="47"/>
      <c r="D128" s="64">
        <f>D43</f>
        <v>0</v>
      </c>
      <c r="E128" s="64">
        <f>E43</f>
        <v>0</v>
      </c>
      <c r="F128" s="64">
        <f>F43</f>
        <v>0</v>
      </c>
      <c r="G128" s="64">
        <f>G43</f>
        <v>0</v>
      </c>
    </row>
    <row r="129" spans="1:9" ht="24" customHeight="1">
      <c r="A129" s="42" t="s">
        <v>62</v>
      </c>
      <c r="B129" s="39" t="s">
        <v>161</v>
      </c>
      <c r="C129" s="47"/>
      <c r="D129" s="64">
        <f>D81</f>
        <v>198</v>
      </c>
      <c r="E129" s="64">
        <f>E81</f>
        <v>198</v>
      </c>
      <c r="F129" s="64">
        <f>F81</f>
        <v>198</v>
      </c>
      <c r="G129" s="64">
        <f>G81</f>
        <v>476.14060000000001</v>
      </c>
      <c r="I129" s="86"/>
    </row>
    <row r="130" spans="1:9" ht="15" customHeight="1">
      <c r="A130" s="42" t="s">
        <v>64</v>
      </c>
      <c r="B130" s="39" t="s">
        <v>162</v>
      </c>
      <c r="C130" s="47"/>
      <c r="D130" s="64">
        <f>D90</f>
        <v>0</v>
      </c>
      <c r="E130" s="64">
        <f>E90</f>
        <v>0</v>
      </c>
      <c r="F130" s="64">
        <f>F90</f>
        <v>0</v>
      </c>
      <c r="G130" s="64">
        <f>G90</f>
        <v>0</v>
      </c>
    </row>
    <row r="131" spans="1:9" ht="24" customHeight="1">
      <c r="A131" s="42" t="s">
        <v>67</v>
      </c>
      <c r="B131" s="39" t="s">
        <v>163</v>
      </c>
      <c r="C131" s="47"/>
      <c r="D131" s="64">
        <f>D103</f>
        <v>0</v>
      </c>
      <c r="E131" s="64">
        <f>E103</f>
        <v>0</v>
      </c>
      <c r="F131" s="64">
        <f>F103</f>
        <v>0</v>
      </c>
      <c r="G131" s="64">
        <f>G103</f>
        <v>0</v>
      </c>
    </row>
    <row r="132" spans="1:9" ht="15" customHeight="1">
      <c r="A132" s="42" t="s">
        <v>70</v>
      </c>
      <c r="B132" s="39" t="s">
        <v>164</v>
      </c>
      <c r="C132" s="47"/>
      <c r="D132" s="64">
        <f>D113</f>
        <v>0</v>
      </c>
      <c r="E132" s="64">
        <f>E113</f>
        <v>0</v>
      </c>
      <c r="F132" s="64">
        <f>F113</f>
        <v>0</v>
      </c>
      <c r="G132" s="64">
        <f>G113</f>
        <v>0</v>
      </c>
    </row>
    <row r="133" spans="1:9" ht="15.95" customHeight="1">
      <c r="A133" s="260" t="s">
        <v>165</v>
      </c>
      <c r="B133" s="260"/>
      <c r="C133" s="47"/>
      <c r="D133" s="67">
        <f>SUM(D128:D132)</f>
        <v>198</v>
      </c>
      <c r="E133" s="67">
        <f>SUM(E128:E132)</f>
        <v>198</v>
      </c>
      <c r="F133" s="67">
        <f>SUM(F128:F132)</f>
        <v>198</v>
      </c>
      <c r="G133" s="67">
        <f>SUM(G128:G132)</f>
        <v>476.14060000000001</v>
      </c>
    </row>
    <row r="134" spans="1:9" ht="15" customHeight="1">
      <c r="A134" s="42" t="s">
        <v>90</v>
      </c>
      <c r="B134" s="39" t="s">
        <v>166</v>
      </c>
      <c r="C134" s="47"/>
      <c r="D134" s="64">
        <f>D123</f>
        <v>38.421004872766645</v>
      </c>
      <c r="E134" s="64">
        <f>E123</f>
        <v>38.421004872766645</v>
      </c>
      <c r="F134" s="64">
        <f>F123</f>
        <v>38.421004872766645</v>
      </c>
      <c r="G134" s="64">
        <f>G123</f>
        <v>93.041303669325501</v>
      </c>
    </row>
    <row r="135" spans="1:9" ht="15.95" customHeight="1">
      <c r="A135" s="260" t="s">
        <v>167</v>
      </c>
      <c r="B135" s="260"/>
      <c r="C135" s="47"/>
      <c r="D135" s="67">
        <f>D133+D134</f>
        <v>236.42100487276664</v>
      </c>
      <c r="E135" s="67">
        <f>E133+E134</f>
        <v>236.42100487276664</v>
      </c>
      <c r="F135" s="67">
        <f>F133+F134</f>
        <v>236.42100487276664</v>
      </c>
      <c r="G135" s="67">
        <f>G133+G134</f>
        <v>569.18190366932549</v>
      </c>
      <c r="I135" s="86">
        <f>SUM(D135+E135+F135)</f>
        <v>709.26301461829996</v>
      </c>
    </row>
    <row r="137" spans="1:9" ht="15" customHeight="1">
      <c r="B137" s="28" t="s">
        <v>168</v>
      </c>
      <c r="D137" s="88">
        <f>D135/D29</f>
        <v>1.0746409312398484</v>
      </c>
      <c r="E137" s="88">
        <f>E135/E29</f>
        <v>1.0746409312398484</v>
      </c>
      <c r="F137" s="88">
        <f>F135/F29</f>
        <v>1.0746409312398484</v>
      </c>
      <c r="G137" s="88">
        <f>G135/G29</f>
        <v>2.5871904712242069</v>
      </c>
    </row>
  </sheetData>
  <mergeCells count="76">
    <mergeCell ref="K74:L74"/>
    <mergeCell ref="A1:F1"/>
    <mergeCell ref="A2:F3"/>
    <mergeCell ref="I3:M3"/>
    <mergeCell ref="A4:F4"/>
    <mergeCell ref="A5:B5"/>
    <mergeCell ref="C5:F5"/>
    <mergeCell ref="A6:B6"/>
    <mergeCell ref="C6:F6"/>
    <mergeCell ref="A7:F7"/>
    <mergeCell ref="A8:B8"/>
    <mergeCell ref="A10:B10"/>
    <mergeCell ref="D10:F10"/>
    <mergeCell ref="A12:F12"/>
    <mergeCell ref="A13:F13"/>
    <mergeCell ref="A14:F14"/>
    <mergeCell ref="A15:C15"/>
    <mergeCell ref="E15:F15"/>
    <mergeCell ref="A20:C20"/>
    <mergeCell ref="E20:F20"/>
    <mergeCell ref="A16:C16"/>
    <mergeCell ref="E16:F16"/>
    <mergeCell ref="A17:C17"/>
    <mergeCell ref="E17:F17"/>
    <mergeCell ref="E18:F18"/>
    <mergeCell ref="A18:C18"/>
    <mergeCell ref="A19:C19"/>
    <mergeCell ref="E19:F19"/>
    <mergeCell ref="E39:E40"/>
    <mergeCell ref="F39:F40"/>
    <mergeCell ref="A21:F21"/>
    <mergeCell ref="A23:F23"/>
    <mergeCell ref="A24:F24"/>
    <mergeCell ref="A25:F25"/>
    <mergeCell ref="A28:A31"/>
    <mergeCell ref="A77:G77"/>
    <mergeCell ref="A52:F52"/>
    <mergeCell ref="A53:F53"/>
    <mergeCell ref="A63:F63"/>
    <mergeCell ref="A64:F64"/>
    <mergeCell ref="A65:F65"/>
    <mergeCell ref="A78:C78"/>
    <mergeCell ref="A79:C79"/>
    <mergeCell ref="A80:C80"/>
    <mergeCell ref="A82:F82"/>
    <mergeCell ref="A83:G83"/>
    <mergeCell ref="A105:G105"/>
    <mergeCell ref="A91:F91"/>
    <mergeCell ref="A93:F93"/>
    <mergeCell ref="A94:F94"/>
    <mergeCell ref="A104:F104"/>
    <mergeCell ref="A92:G92"/>
    <mergeCell ref="A126:F126"/>
    <mergeCell ref="A127:C127"/>
    <mergeCell ref="A133:B133"/>
    <mergeCell ref="A135:B135"/>
    <mergeCell ref="A114:F114"/>
    <mergeCell ref="A115:F115"/>
    <mergeCell ref="A124:F124"/>
    <mergeCell ref="A125:F125"/>
    <mergeCell ref="G39:G40"/>
    <mergeCell ref="D11:F11"/>
    <mergeCell ref="D9:F9"/>
    <mergeCell ref="D8:F8"/>
    <mergeCell ref="A76:G76"/>
    <mergeCell ref="A66:F66"/>
    <mergeCell ref="A74:F74"/>
    <mergeCell ref="A75:F75"/>
    <mergeCell ref="A44:F44"/>
    <mergeCell ref="A45:F45"/>
    <mergeCell ref="A46:E46"/>
    <mergeCell ref="A50:F50"/>
    <mergeCell ref="A51:F51"/>
    <mergeCell ref="A34:F34"/>
    <mergeCell ref="A35:F35"/>
    <mergeCell ref="D39:D40"/>
  </mergeCells>
  <pageMargins left="0.28958333333333303" right="0.18888888888888899" top="1.4513888888888899" bottom="0.48680555555555599" header="0.51180555555555496" footer="9.30555555555556E-2"/>
  <pageSetup paperSize="77" firstPageNumber="0" pageOrder="overThenDown" orientation="landscape" horizontalDpi="300" verticalDpi="300" r:id="rId1"/>
  <headerFooter>
    <oddFooter>&amp;C&amp;10Page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I54"/>
  <sheetViews>
    <sheetView zoomScaleNormal="100" workbookViewId="0">
      <selection activeCell="D29" sqref="D29"/>
    </sheetView>
  </sheetViews>
  <sheetFormatPr defaultRowHeight="15"/>
  <cols>
    <col min="1" max="1" width="53.75" style="29" customWidth="1"/>
    <col min="2" max="2" width="24.75" style="29" customWidth="1"/>
    <col min="3" max="3" width="11.375" style="32" customWidth="1"/>
    <col min="4" max="4" width="11" style="29" customWidth="1"/>
    <col min="5" max="5" width="10.25" style="29" customWidth="1"/>
    <col min="6" max="6" width="10.625" style="29" customWidth="1"/>
    <col min="7" max="7" width="11.25" style="29" customWidth="1"/>
    <col min="8" max="8" width="25.375" style="29" customWidth="1"/>
    <col min="9" max="9" width="12.125" style="32" customWidth="1"/>
    <col min="10" max="10" width="6.75" style="32" customWidth="1"/>
    <col min="11" max="11" width="12.875" style="32" customWidth="1"/>
    <col min="12" max="256" width="9.375" style="29" customWidth="1"/>
    <col min="257" max="1021" width="9.375" customWidth="1"/>
    <col min="1022" max="1024" width="7.875" customWidth="1"/>
  </cols>
  <sheetData>
    <row r="1" spans="1:256" ht="15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35"/>
      <c r="L1" s="45"/>
    </row>
    <row r="2" spans="1:256" ht="15" customHeight="1">
      <c r="A2" s="90"/>
      <c r="B2" s="90"/>
      <c r="C2" s="45"/>
      <c r="D2" s="45"/>
      <c r="E2" s="45"/>
      <c r="F2" s="45"/>
      <c r="G2" s="45"/>
      <c r="H2" s="45"/>
      <c r="I2" s="45"/>
      <c r="J2" s="45"/>
      <c r="K2" s="35"/>
      <c r="L2" s="45"/>
    </row>
    <row r="3" spans="1:256" ht="15" customHeight="1">
      <c r="A3" s="95"/>
      <c r="B3" s="95"/>
      <c r="C3" s="35"/>
      <c r="D3" s="35"/>
      <c r="E3" s="35"/>
      <c r="F3" s="45"/>
      <c r="G3" s="91"/>
      <c r="H3" s="91"/>
      <c r="I3" s="93"/>
      <c r="J3" s="93"/>
      <c r="K3" s="93"/>
      <c r="L3" s="93"/>
      <c r="M3" s="93"/>
    </row>
    <row r="4" spans="1:256" ht="25.9" customHeight="1">
      <c r="A4" s="96" t="s">
        <v>147</v>
      </c>
      <c r="B4" s="162" t="s">
        <v>253</v>
      </c>
      <c r="C4" s="162" t="s">
        <v>171</v>
      </c>
      <c r="D4" s="97" t="s">
        <v>170</v>
      </c>
      <c r="E4" s="97" t="s">
        <v>19</v>
      </c>
      <c r="G4" s="93"/>
      <c r="H4" s="93"/>
      <c r="I4" s="93"/>
      <c r="J4" s="93"/>
      <c r="K4" s="93"/>
    </row>
    <row r="5" spans="1:256" ht="15" customHeight="1">
      <c r="A5" s="58" t="s">
        <v>240</v>
      </c>
      <c r="B5" s="166">
        <v>100</v>
      </c>
      <c r="C5" s="158">
        <f>B5/12</f>
        <v>8.3333333333333339</v>
      </c>
      <c r="D5" s="163"/>
      <c r="E5" s="163">
        <f>C5*D5</f>
        <v>0</v>
      </c>
      <c r="H5" s="93"/>
      <c r="I5" s="93"/>
      <c r="J5" s="93"/>
      <c r="K5" s="93"/>
    </row>
    <row r="6" spans="1:256" ht="15" customHeight="1">
      <c r="A6" s="58" t="s">
        <v>241</v>
      </c>
      <c r="B6" s="40">
        <v>6</v>
      </c>
      <c r="C6" s="158">
        <f>B6/12</f>
        <v>0.5</v>
      </c>
      <c r="D6" s="163"/>
      <c r="E6" s="163">
        <f t="shared" ref="E6:E17" si="0">C6*D6</f>
        <v>0</v>
      </c>
      <c r="H6" s="93"/>
      <c r="I6" s="93"/>
      <c r="J6" s="93"/>
      <c r="K6" s="93"/>
    </row>
    <row r="7" spans="1:256" ht="15" customHeight="1">
      <c r="A7" s="58" t="s">
        <v>242</v>
      </c>
      <c r="B7" s="40">
        <v>5</v>
      </c>
      <c r="C7" s="158">
        <f t="shared" ref="C7:C17" si="1">B7/12</f>
        <v>0.41666666666666669</v>
      </c>
      <c r="D7" s="163"/>
      <c r="E7" s="163">
        <f t="shared" si="0"/>
        <v>0</v>
      </c>
      <c r="H7" s="93"/>
      <c r="I7" s="93"/>
      <c r="J7" s="93"/>
      <c r="K7" s="93"/>
    </row>
    <row r="8" spans="1:256" ht="15" customHeight="1">
      <c r="A8" s="58" t="s">
        <v>243</v>
      </c>
      <c r="B8" s="40">
        <v>2</v>
      </c>
      <c r="C8" s="158">
        <f t="shared" si="1"/>
        <v>0.16666666666666666</v>
      </c>
      <c r="D8" s="163"/>
      <c r="E8" s="163">
        <f t="shared" si="0"/>
        <v>0</v>
      </c>
      <c r="H8" s="93"/>
      <c r="I8" s="93"/>
      <c r="J8" s="93"/>
      <c r="K8" s="93"/>
    </row>
    <row r="9" spans="1:256" ht="15" customHeight="1">
      <c r="A9" s="58" t="s">
        <v>244</v>
      </c>
      <c r="B9" s="40">
        <v>1</v>
      </c>
      <c r="C9" s="158">
        <f t="shared" si="1"/>
        <v>8.3333333333333329E-2</v>
      </c>
      <c r="D9" s="163"/>
      <c r="E9" s="163">
        <f t="shared" si="0"/>
        <v>0</v>
      </c>
      <c r="H9" s="93"/>
      <c r="I9" s="93"/>
      <c r="J9" s="93"/>
      <c r="K9" s="93"/>
    </row>
    <row r="10" spans="1:256" ht="15" customHeight="1">
      <c r="A10" s="58" t="s">
        <v>245</v>
      </c>
      <c r="B10" s="40">
        <v>10</v>
      </c>
      <c r="C10" s="158">
        <f t="shared" si="1"/>
        <v>0.83333333333333337</v>
      </c>
      <c r="D10" s="163"/>
      <c r="E10" s="163">
        <f t="shared" si="0"/>
        <v>0</v>
      </c>
      <c r="H10" s="93"/>
      <c r="I10" s="93"/>
      <c r="J10" s="93"/>
      <c r="K10" s="93"/>
    </row>
    <row r="11" spans="1:256" ht="15" customHeight="1">
      <c r="A11" s="58" t="s">
        <v>246</v>
      </c>
      <c r="B11" s="40">
        <v>3</v>
      </c>
      <c r="C11" s="158">
        <f t="shared" si="1"/>
        <v>0.25</v>
      </c>
      <c r="D11" s="163"/>
      <c r="E11" s="163">
        <f t="shared" si="0"/>
        <v>0</v>
      </c>
      <c r="H11" s="93"/>
      <c r="I11" s="93"/>
      <c r="J11" s="93"/>
      <c r="K11" s="93"/>
    </row>
    <row r="12" spans="1:256" s="161" customFormat="1" ht="15" customHeight="1">
      <c r="A12" s="58" t="s">
        <v>247</v>
      </c>
      <c r="B12" s="40">
        <v>12</v>
      </c>
      <c r="C12" s="158">
        <f t="shared" si="1"/>
        <v>1</v>
      </c>
      <c r="D12" s="163"/>
      <c r="E12" s="163">
        <f t="shared" si="0"/>
        <v>0</v>
      </c>
      <c r="F12" s="29"/>
      <c r="G12" s="29"/>
      <c r="H12" s="93"/>
      <c r="I12" s="93"/>
      <c r="J12" s="93"/>
      <c r="K12" s="93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  <c r="GH12" s="29"/>
      <c r="GI12" s="29"/>
      <c r="GJ12" s="29"/>
      <c r="GK12" s="29"/>
      <c r="GL12" s="29"/>
      <c r="GM12" s="29"/>
      <c r="GN12" s="29"/>
      <c r="GO12" s="29"/>
      <c r="GP12" s="29"/>
      <c r="GQ12" s="29"/>
      <c r="GR12" s="29"/>
      <c r="GS12" s="29"/>
      <c r="GT12" s="29"/>
      <c r="GU12" s="29"/>
      <c r="GV12" s="29"/>
      <c r="GW12" s="29"/>
      <c r="GX12" s="29"/>
      <c r="GY12" s="29"/>
      <c r="GZ12" s="29"/>
      <c r="HA12" s="29"/>
      <c r="HB12" s="29"/>
      <c r="HC12" s="29"/>
      <c r="HD12" s="29"/>
      <c r="HE12" s="29"/>
      <c r="HF12" s="29"/>
      <c r="HG12" s="29"/>
      <c r="HH12" s="29"/>
      <c r="HI12" s="29"/>
      <c r="HJ12" s="29"/>
      <c r="HK12" s="29"/>
      <c r="HL12" s="29"/>
      <c r="HM12" s="29"/>
      <c r="HN12" s="29"/>
      <c r="HO12" s="29"/>
      <c r="HP12" s="29"/>
      <c r="HQ12" s="29"/>
      <c r="HR12" s="29"/>
      <c r="HS12" s="29"/>
      <c r="HT12" s="29"/>
      <c r="HU12" s="29"/>
      <c r="HV12" s="29"/>
      <c r="HW12" s="29"/>
      <c r="HX12" s="29"/>
      <c r="HY12" s="29"/>
      <c r="HZ12" s="29"/>
      <c r="IA12" s="29"/>
      <c r="IB12" s="29"/>
      <c r="IC12" s="29"/>
      <c r="ID12" s="29"/>
      <c r="IE12" s="29"/>
      <c r="IF12" s="29"/>
      <c r="IG12" s="29"/>
      <c r="IH12" s="29"/>
      <c r="II12" s="29"/>
      <c r="IJ12" s="29"/>
      <c r="IK12" s="29"/>
      <c r="IL12" s="29"/>
      <c r="IM12" s="29"/>
      <c r="IN12" s="29"/>
      <c r="IO12" s="29"/>
      <c r="IP12" s="29"/>
      <c r="IQ12" s="29"/>
      <c r="IR12" s="29"/>
      <c r="IS12" s="29"/>
      <c r="IT12" s="29"/>
      <c r="IU12" s="29"/>
      <c r="IV12" s="29"/>
    </row>
    <row r="13" spans="1:256" s="161" customFormat="1" ht="15" customHeight="1">
      <c r="A13" s="58" t="s">
        <v>248</v>
      </c>
      <c r="B13" s="40">
        <v>20</v>
      </c>
      <c r="C13" s="158">
        <f t="shared" si="1"/>
        <v>1.6666666666666667</v>
      </c>
      <c r="D13" s="163"/>
      <c r="E13" s="163">
        <f t="shared" si="0"/>
        <v>0</v>
      </c>
      <c r="F13" s="29"/>
      <c r="G13" s="29"/>
      <c r="H13" s="93"/>
      <c r="I13" s="93"/>
      <c r="J13" s="93"/>
      <c r="K13" s="93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  <c r="IU13" s="29"/>
      <c r="IV13" s="29"/>
    </row>
    <row r="14" spans="1:256" s="161" customFormat="1" ht="15" customHeight="1">
      <c r="A14" s="58" t="s">
        <v>249</v>
      </c>
      <c r="B14" s="40">
        <v>100</v>
      </c>
      <c r="C14" s="158">
        <f t="shared" si="1"/>
        <v>8.3333333333333339</v>
      </c>
      <c r="D14" s="163"/>
      <c r="E14" s="163">
        <f t="shared" si="0"/>
        <v>0</v>
      </c>
      <c r="F14" s="29"/>
      <c r="G14" s="29"/>
      <c r="H14" s="93"/>
      <c r="I14" s="93"/>
      <c r="J14" s="93"/>
      <c r="K14" s="93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  <c r="IM14" s="29"/>
      <c r="IN14" s="29"/>
      <c r="IO14" s="29"/>
      <c r="IP14" s="29"/>
      <c r="IQ14" s="29"/>
      <c r="IR14" s="29"/>
      <c r="IS14" s="29"/>
      <c r="IT14" s="29"/>
      <c r="IU14" s="29"/>
      <c r="IV14" s="29"/>
    </row>
    <row r="15" spans="1:256" s="161" customFormat="1" ht="15" customHeight="1">
      <c r="A15" s="58" t="s">
        <v>250</v>
      </c>
      <c r="B15" s="40">
        <v>5</v>
      </c>
      <c r="C15" s="158">
        <f t="shared" si="1"/>
        <v>0.41666666666666669</v>
      </c>
      <c r="D15" s="163"/>
      <c r="E15" s="163">
        <f t="shared" si="0"/>
        <v>0</v>
      </c>
      <c r="F15" s="29"/>
      <c r="G15" s="29"/>
      <c r="H15" s="93"/>
      <c r="I15" s="93"/>
      <c r="J15" s="93"/>
      <c r="K15" s="93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  <c r="IU15" s="29"/>
      <c r="IV15" s="29"/>
    </row>
    <row r="16" spans="1:256" s="161" customFormat="1" ht="15" customHeight="1">
      <c r="A16" s="165" t="s">
        <v>251</v>
      </c>
      <c r="B16" s="40">
        <v>4</v>
      </c>
      <c r="C16" s="158">
        <f t="shared" si="1"/>
        <v>0.33333333333333331</v>
      </c>
      <c r="D16" s="163"/>
      <c r="E16" s="163">
        <f t="shared" si="0"/>
        <v>0</v>
      </c>
      <c r="F16" s="29"/>
      <c r="G16" s="29"/>
      <c r="H16" s="93"/>
      <c r="I16" s="93"/>
      <c r="J16" s="93"/>
      <c r="K16" s="93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  <c r="IT16" s="29"/>
      <c r="IU16" s="29"/>
      <c r="IV16" s="29"/>
    </row>
    <row r="17" spans="1:1023" ht="15" customHeight="1">
      <c r="A17" s="58" t="s">
        <v>252</v>
      </c>
      <c r="B17" s="40">
        <v>1</v>
      </c>
      <c r="C17" s="158">
        <f t="shared" si="1"/>
        <v>8.3333333333333329E-2</v>
      </c>
      <c r="D17" s="163"/>
      <c r="E17" s="163">
        <f t="shared" si="0"/>
        <v>0</v>
      </c>
      <c r="H17" s="93"/>
      <c r="I17" s="93"/>
      <c r="J17" s="93"/>
      <c r="K17" s="93"/>
    </row>
    <row r="18" spans="1:1023" ht="15.95" customHeight="1">
      <c r="A18" s="279" t="s">
        <v>254</v>
      </c>
      <c r="B18" s="279"/>
      <c r="C18" s="279"/>
      <c r="D18" s="279"/>
      <c r="E18" s="98">
        <f>SUM(E5:E17)</f>
        <v>0</v>
      </c>
      <c r="F18" s="94"/>
      <c r="I18" s="93"/>
      <c r="J18" s="93"/>
      <c r="K18" s="93"/>
      <c r="L18" s="93"/>
      <c r="M18" s="93"/>
    </row>
    <row r="19" spans="1:1023" s="68" customFormat="1" ht="15" customHeight="1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35"/>
      <c r="L19" s="45"/>
      <c r="AMI19"/>
    </row>
    <row r="20" spans="1:1023" ht="20.85" customHeight="1">
      <c r="A20" s="282" t="s">
        <v>172</v>
      </c>
      <c r="B20" s="282"/>
      <c r="C20" s="282"/>
      <c r="D20" s="282"/>
      <c r="E20" s="282"/>
      <c r="F20" s="45"/>
      <c r="G20" s="91"/>
      <c r="H20" s="91"/>
      <c r="I20" s="93"/>
      <c r="J20" s="281"/>
      <c r="K20" s="281"/>
    </row>
    <row r="21" spans="1:1023" ht="14.25" customHeight="1">
      <c r="A21" s="283" t="s">
        <v>223</v>
      </c>
      <c r="B21" s="283"/>
      <c r="C21" s="283"/>
      <c r="D21" s="283"/>
      <c r="E21" s="92">
        <f>660+(1500/12)</f>
        <v>785</v>
      </c>
      <c r="F21" s="45"/>
      <c r="G21" s="91"/>
      <c r="H21" s="91"/>
      <c r="I21" s="93"/>
      <c r="J21" s="281"/>
      <c r="K21" s="281"/>
    </row>
    <row r="22" spans="1:1023" ht="15.95" customHeight="1">
      <c r="A22" s="280" t="s">
        <v>137</v>
      </c>
      <c r="B22" s="280"/>
      <c r="C22" s="280"/>
      <c r="D22" s="280"/>
      <c r="E22" s="89"/>
      <c r="F22" s="45"/>
      <c r="G22" s="91"/>
      <c r="H22" s="91"/>
      <c r="I22" s="93"/>
      <c r="J22" s="93"/>
      <c r="K22" s="93"/>
    </row>
    <row r="23" spans="1:1023" ht="14.25" customHeight="1">
      <c r="A23" s="281"/>
      <c r="B23" s="281"/>
      <c r="C23" s="281"/>
      <c r="D23" s="281"/>
      <c r="E23" s="281"/>
      <c r="F23" s="281"/>
      <c r="G23" s="281"/>
      <c r="I23" s="93"/>
      <c r="J23" s="93"/>
      <c r="K23" s="93"/>
    </row>
    <row r="24" spans="1:1023" ht="15" customHeight="1"/>
    <row r="25" spans="1:1023" ht="15" customHeight="1"/>
    <row r="26" spans="1:1023" ht="15" customHeight="1"/>
    <row r="27" spans="1:1023" ht="31.15" customHeight="1"/>
    <row r="29" spans="1:1023" ht="15" customHeight="1"/>
    <row r="30" spans="1:1023" ht="15" customHeight="1"/>
    <row r="31" spans="1:1023" ht="41.45" customHeight="1"/>
    <row r="32" spans="1:1023" ht="39.6" customHeight="1"/>
    <row r="33" spans="11:11" ht="45.75" customHeight="1">
      <c r="K33" s="117"/>
    </row>
    <row r="34" spans="11:11" ht="21" customHeight="1"/>
    <row r="35" spans="11:11" ht="15" customHeight="1">
      <c r="K35" s="117"/>
    </row>
    <row r="36" spans="11:11" ht="29.1" customHeight="1">
      <c r="K36" s="117"/>
    </row>
    <row r="37" spans="11:11" ht="15" customHeight="1">
      <c r="K37" s="117"/>
    </row>
    <row r="38" spans="11:11" ht="15" customHeight="1"/>
    <row r="39" spans="11:11" ht="15" customHeight="1"/>
    <row r="40" spans="11:11" ht="15" customHeight="1"/>
    <row r="41" spans="11:11" ht="15" customHeight="1"/>
    <row r="42" spans="11:11" ht="15" customHeight="1"/>
    <row r="43" spans="11:11" ht="20.85" customHeight="1">
      <c r="K43" s="117"/>
    </row>
    <row r="44" spans="11:11" ht="15" customHeight="1"/>
    <row r="45" spans="11:11" ht="15" customHeight="1"/>
    <row r="46" spans="11:11" ht="15" customHeight="1"/>
    <row r="47" spans="11:11" ht="15" customHeight="1"/>
    <row r="48" spans="11:11" ht="15" customHeight="1"/>
    <row r="49" spans="1:10" ht="15" customHeight="1"/>
    <row r="50" spans="1:10" ht="15" customHeight="1"/>
    <row r="54" spans="1:10">
      <c r="A54" s="144"/>
      <c r="B54" s="144"/>
      <c r="C54" s="143"/>
      <c r="D54" s="144"/>
      <c r="E54" s="144"/>
      <c r="F54" s="144"/>
      <c r="G54" s="144"/>
      <c r="H54" s="144"/>
      <c r="I54" s="143"/>
      <c r="J54" s="143"/>
    </row>
  </sheetData>
  <mergeCells count="7">
    <mergeCell ref="A18:D18"/>
    <mergeCell ref="A22:D22"/>
    <mergeCell ref="A23:G23"/>
    <mergeCell ref="A20:E20"/>
    <mergeCell ref="J20:K20"/>
    <mergeCell ref="A21:D21"/>
    <mergeCell ref="J21:K21"/>
  </mergeCells>
  <pageMargins left="0.28958333333333303" right="0.18888888888888899" top="1.4513888888888899" bottom="0.48680555555555599" header="0.51180555555555496" footer="9.30555555555556E-2"/>
  <pageSetup paperSize="9" firstPageNumber="0" pageOrder="overThenDown" orientation="landscape" horizontalDpi="300" verticalDpi="300" r:id="rId1"/>
  <headerFooter>
    <oddFooter>&amp;C&amp;10Page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R21"/>
  <sheetViews>
    <sheetView zoomScaleNormal="100" workbookViewId="0">
      <selection activeCell="C21" sqref="C21"/>
    </sheetView>
  </sheetViews>
  <sheetFormatPr defaultRowHeight="14.25"/>
  <cols>
    <col min="1" max="1" width="7.125" style="100" customWidth="1"/>
    <col min="2" max="2" width="34" style="101" customWidth="1"/>
    <col min="3" max="3" width="8" style="101" customWidth="1"/>
    <col min="4" max="4" width="3" style="100" customWidth="1"/>
    <col min="5" max="252" width="6.75" style="100" customWidth="1"/>
    <col min="253" max="1018" width="6.75" customWidth="1"/>
    <col min="1019" max="1020" width="7.875" customWidth="1"/>
  </cols>
  <sheetData>
    <row r="1" spans="1:4" ht="18.75" customHeight="1">
      <c r="A1" s="285" t="s">
        <v>173</v>
      </c>
      <c r="B1" s="285"/>
      <c r="C1" s="285"/>
      <c r="D1" s="286"/>
    </row>
    <row r="2" spans="1:4" ht="12.75" customHeight="1">
      <c r="A2" s="102" t="s">
        <v>175</v>
      </c>
      <c r="B2" s="103" t="s">
        <v>176</v>
      </c>
      <c r="C2" s="102"/>
      <c r="D2" s="286"/>
    </row>
    <row r="3" spans="1:4" ht="12.75" customHeight="1">
      <c r="A3" s="102" t="s">
        <v>178</v>
      </c>
      <c r="B3" s="104" t="s">
        <v>179</v>
      </c>
      <c r="C3" s="105">
        <v>2.5000000000000001E-2</v>
      </c>
      <c r="D3" s="286"/>
    </row>
    <row r="4" spans="1:4" ht="12.75" customHeight="1">
      <c r="A4" s="102" t="s">
        <v>180</v>
      </c>
      <c r="B4" s="104" t="s">
        <v>181</v>
      </c>
      <c r="C4" s="105">
        <v>7.0000000000000001E-3</v>
      </c>
      <c r="D4" s="286"/>
    </row>
    <row r="5" spans="1:4" ht="12.75" customHeight="1">
      <c r="A5" s="102" t="s">
        <v>182</v>
      </c>
      <c r="B5" s="104" t="s">
        <v>183</v>
      </c>
      <c r="C5" s="105">
        <v>7.0000000000000001E-3</v>
      </c>
      <c r="D5" s="286"/>
    </row>
    <row r="6" spans="1:4" ht="12.75" customHeight="1">
      <c r="A6" s="102"/>
      <c r="B6" s="102" t="s">
        <v>184</v>
      </c>
      <c r="C6" s="106">
        <f>SUM(C3:C5)</f>
        <v>3.9E-2</v>
      </c>
      <c r="D6" s="286"/>
    </row>
    <row r="7" spans="1:4" ht="12.75" customHeight="1">
      <c r="A7" s="102"/>
      <c r="B7" s="103" t="s">
        <v>185</v>
      </c>
      <c r="C7" s="102"/>
      <c r="D7" s="286"/>
    </row>
    <row r="8" spans="1:4" ht="12.75" customHeight="1">
      <c r="A8" s="102" t="s">
        <v>186</v>
      </c>
      <c r="B8" s="104" t="s">
        <v>152</v>
      </c>
      <c r="C8" s="105">
        <v>5.0999999999999997E-2</v>
      </c>
      <c r="D8" s="286"/>
    </row>
    <row r="9" spans="1:4" ht="12.75" customHeight="1">
      <c r="A9" s="102"/>
      <c r="B9" s="102" t="s">
        <v>187</v>
      </c>
      <c r="C9" s="106">
        <f>C8</f>
        <v>5.0999999999999997E-2</v>
      </c>
      <c r="D9" s="286"/>
    </row>
    <row r="10" spans="1:4" ht="12.75" customHeight="1">
      <c r="A10" s="102" t="s">
        <v>188</v>
      </c>
      <c r="B10" s="103" t="s">
        <v>189</v>
      </c>
      <c r="C10" s="102"/>
      <c r="D10" s="286"/>
    </row>
    <row r="11" spans="1:4" ht="12.75" customHeight="1">
      <c r="A11" s="102"/>
      <c r="B11" s="104" t="s">
        <v>155</v>
      </c>
      <c r="C11" s="105">
        <f>'PCFP-CUSTOS_FIXOS-Equipe_Reside'!C120</f>
        <v>6.4999999999999997E-3</v>
      </c>
      <c r="D11" s="286"/>
    </row>
    <row r="12" spans="1:4" ht="12.75" customHeight="1">
      <c r="A12" s="102"/>
      <c r="B12" s="104" t="s">
        <v>156</v>
      </c>
      <c r="C12" s="105">
        <f>'PCFP-CUSTOS_FIXOS-Equipe_Reside'!C121</f>
        <v>0.03</v>
      </c>
      <c r="D12" s="286"/>
    </row>
    <row r="13" spans="1:4" ht="12.75" customHeight="1">
      <c r="A13" s="102"/>
      <c r="B13" s="104" t="s">
        <v>190</v>
      </c>
      <c r="C13" s="107"/>
      <c r="D13" s="286"/>
    </row>
    <row r="14" spans="1:4" ht="12.75" customHeight="1">
      <c r="A14" s="103"/>
      <c r="B14" s="102" t="s">
        <v>191</v>
      </c>
      <c r="C14" s="106">
        <f>SUM(C11:C13)</f>
        <v>3.6499999999999998E-2</v>
      </c>
      <c r="D14" s="286"/>
    </row>
    <row r="15" spans="1:4" ht="12.75" customHeight="1">
      <c r="A15" s="102"/>
      <c r="B15" s="103" t="s">
        <v>192</v>
      </c>
      <c r="C15" s="102"/>
      <c r="D15" s="286"/>
    </row>
    <row r="16" spans="1:4" ht="12.75" customHeight="1">
      <c r="A16" s="102" t="s">
        <v>193</v>
      </c>
      <c r="B16" s="104" t="s">
        <v>192</v>
      </c>
      <c r="C16" s="105">
        <v>5.8999999999999999E-3</v>
      </c>
      <c r="D16" s="286"/>
    </row>
    <row r="17" spans="1:5" ht="12.75" customHeight="1">
      <c r="A17" s="102"/>
      <c r="B17" s="102" t="s">
        <v>194</v>
      </c>
      <c r="C17" s="108">
        <f>C16</f>
        <v>5.8999999999999999E-3</v>
      </c>
      <c r="D17" s="286"/>
    </row>
    <row r="18" spans="1:5" ht="12.75" customHeight="1">
      <c r="A18" s="109"/>
      <c r="B18" s="110"/>
      <c r="C18" s="111"/>
      <c r="D18" s="286"/>
    </row>
    <row r="19" spans="1:5" ht="12.75" customHeight="1">
      <c r="A19" s="287" t="s">
        <v>195</v>
      </c>
      <c r="B19" s="287"/>
      <c r="C19" s="287"/>
      <c r="D19" s="286"/>
    </row>
    <row r="20" spans="1:5" s="99" customFormat="1" ht="55.9" customHeight="1">
      <c r="A20" s="259"/>
      <c r="B20" s="259"/>
      <c r="C20" s="112">
        <f>(((1+(C3+C5+C4))*(1+C16)*(1+C8))/(1-C14))-1</f>
        <v>0.14004331613907617</v>
      </c>
      <c r="D20" s="286"/>
      <c r="E20" s="113"/>
    </row>
    <row r="21" spans="1:5" ht="19.7" customHeight="1">
      <c r="A21" s="284" t="s">
        <v>196</v>
      </c>
      <c r="B21" s="284"/>
      <c r="C21" s="114">
        <v>0.14019999999999999</v>
      </c>
    </row>
  </sheetData>
  <mergeCells count="5">
    <mergeCell ref="A21:B21"/>
    <mergeCell ref="A1:C1"/>
    <mergeCell ref="D1:D20"/>
    <mergeCell ref="A19:C19"/>
    <mergeCell ref="A20:B20"/>
  </mergeCells>
  <pageMargins left="0.28958333333333303" right="0.18888888888888899" top="1.4513888888888899" bottom="0.48680555555555599" header="0.51180555555555496" footer="9.30555555555556E-2"/>
  <pageSetup paperSize="77" firstPageNumber="0" pageOrder="overThenDown" orientation="landscape" horizontalDpi="300" verticalDpi="300" r:id="rId1"/>
  <headerFooter>
    <oddFooter>&amp;C&amp;10Page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1"/>
  <sheetViews>
    <sheetView zoomScaleNormal="100" workbookViewId="0">
      <selection activeCell="E21" sqref="E21:F21"/>
    </sheetView>
  </sheetViews>
  <sheetFormatPr defaultRowHeight="14.25"/>
  <cols>
    <col min="1" max="1" width="7.25" customWidth="1"/>
    <col min="2" max="2" width="32.125" customWidth="1"/>
    <col min="3" max="3" width="13.125" customWidth="1"/>
    <col min="4" max="4" width="2.625" customWidth="1"/>
    <col min="5" max="5" width="7.875" customWidth="1"/>
    <col min="6" max="6" width="33.125" customWidth="1"/>
    <col min="7" max="7" width="9.875" customWidth="1"/>
    <col min="8" max="1025" width="7.875" customWidth="1"/>
  </cols>
  <sheetData>
    <row r="1" spans="1:7" ht="18.75">
      <c r="A1" s="285" t="s">
        <v>173</v>
      </c>
      <c r="B1" s="285"/>
      <c r="C1" s="285"/>
      <c r="D1" s="286"/>
      <c r="E1" s="285" t="s">
        <v>174</v>
      </c>
      <c r="F1" s="285"/>
      <c r="G1" s="285"/>
    </row>
    <row r="2" spans="1:7">
      <c r="A2" s="102" t="s">
        <v>175</v>
      </c>
      <c r="B2" s="103" t="s">
        <v>176</v>
      </c>
      <c r="C2" s="102"/>
      <c r="D2" s="286"/>
      <c r="E2" s="102" t="s">
        <v>175</v>
      </c>
      <c r="F2" s="103" t="s">
        <v>177</v>
      </c>
      <c r="G2" s="102"/>
    </row>
    <row r="3" spans="1:7">
      <c r="A3" s="102" t="s">
        <v>178</v>
      </c>
      <c r="B3" s="104" t="s">
        <v>179</v>
      </c>
      <c r="C3" s="105">
        <v>2.5000000000000001E-2</v>
      </c>
      <c r="D3" s="286"/>
      <c r="E3" s="102" t="s">
        <v>178</v>
      </c>
      <c r="F3" s="104" t="s">
        <v>179</v>
      </c>
      <c r="G3" s="105">
        <v>0.03</v>
      </c>
    </row>
    <row r="4" spans="1:7">
      <c r="A4" s="102" t="s">
        <v>180</v>
      </c>
      <c r="B4" s="104" t="s">
        <v>181</v>
      </c>
      <c r="C4" s="105">
        <v>7.0000000000000001E-3</v>
      </c>
      <c r="D4" s="286"/>
      <c r="E4" s="102" t="s">
        <v>180</v>
      </c>
      <c r="F4" s="104" t="s">
        <v>181</v>
      </c>
      <c r="G4" s="105">
        <v>8.0000000000000002E-3</v>
      </c>
    </row>
    <row r="5" spans="1:7">
      <c r="A5" s="102" t="s">
        <v>182</v>
      </c>
      <c r="B5" s="104" t="s">
        <v>183</v>
      </c>
      <c r="C5" s="105">
        <v>7.0000000000000001E-3</v>
      </c>
      <c r="D5" s="286"/>
      <c r="E5" s="102" t="s">
        <v>182</v>
      </c>
      <c r="F5" s="104" t="s">
        <v>183</v>
      </c>
      <c r="G5" s="105">
        <v>9.7000000000000003E-3</v>
      </c>
    </row>
    <row r="6" spans="1:7">
      <c r="A6" s="102"/>
      <c r="B6" s="102" t="s">
        <v>184</v>
      </c>
      <c r="C6" s="106">
        <f>SUM(C3:C5)</f>
        <v>3.9E-2</v>
      </c>
      <c r="D6" s="286"/>
      <c r="E6" s="102"/>
      <c r="F6" s="102" t="s">
        <v>184</v>
      </c>
      <c r="G6" s="106">
        <f>SUM(G3:G5)</f>
        <v>4.7699999999999999E-2</v>
      </c>
    </row>
    <row r="7" spans="1:7">
      <c r="A7" s="102"/>
      <c r="B7" s="103" t="s">
        <v>185</v>
      </c>
      <c r="C7" s="102"/>
      <c r="D7" s="286"/>
      <c r="E7" s="102"/>
      <c r="F7" s="103" t="s">
        <v>185</v>
      </c>
      <c r="G7" s="102"/>
    </row>
    <row r="8" spans="1:7">
      <c r="A8" s="102" t="s">
        <v>186</v>
      </c>
      <c r="B8" s="104" t="s">
        <v>152</v>
      </c>
      <c r="C8" s="105">
        <v>5.0999999999999997E-2</v>
      </c>
      <c r="D8" s="286"/>
      <c r="E8" s="102" t="s">
        <v>186</v>
      </c>
      <c r="F8" s="104" t="s">
        <v>152</v>
      </c>
      <c r="G8" s="105">
        <v>6.7900000000000002E-2</v>
      </c>
    </row>
    <row r="9" spans="1:7">
      <c r="A9" s="102"/>
      <c r="B9" s="102" t="s">
        <v>187</v>
      </c>
      <c r="C9" s="106">
        <f>C8</f>
        <v>5.0999999999999997E-2</v>
      </c>
      <c r="D9" s="286"/>
      <c r="E9" s="102"/>
      <c r="F9" s="102" t="s">
        <v>187</v>
      </c>
      <c r="G9" s="106">
        <f>G8</f>
        <v>6.7900000000000002E-2</v>
      </c>
    </row>
    <row r="10" spans="1:7">
      <c r="A10" s="102" t="s">
        <v>188</v>
      </c>
      <c r="B10" s="103" t="s">
        <v>189</v>
      </c>
      <c r="C10" s="102"/>
      <c r="D10" s="286"/>
      <c r="E10" s="102" t="s">
        <v>188</v>
      </c>
      <c r="F10" s="103" t="s">
        <v>189</v>
      </c>
      <c r="G10" s="102"/>
    </row>
    <row r="11" spans="1:7">
      <c r="A11" s="102"/>
      <c r="B11" s="104" t="s">
        <v>155</v>
      </c>
      <c r="C11" s="105">
        <f>'PCFP-CUSTOS_FIXOS-Equipe_Reside'!C120</f>
        <v>6.4999999999999997E-3</v>
      </c>
      <c r="D11" s="286"/>
      <c r="E11" s="102"/>
      <c r="F11" s="104" t="s">
        <v>155</v>
      </c>
      <c r="G11" s="105">
        <f>'PCFP-CUSTOS_FIXOS-Equipe_Reside'!C120</f>
        <v>6.4999999999999997E-3</v>
      </c>
    </row>
    <row r="12" spans="1:7">
      <c r="A12" s="102"/>
      <c r="B12" s="104" t="s">
        <v>156</v>
      </c>
      <c r="C12" s="105">
        <f>'PCFP-CUSTOS_FIXOS-Equipe_Reside'!C121</f>
        <v>0.03</v>
      </c>
      <c r="D12" s="286"/>
      <c r="E12" s="102"/>
      <c r="F12" s="104" t="s">
        <v>156</v>
      </c>
      <c r="G12" s="105">
        <f>'PCFP-CUSTOS_FIXOS-Equipe_Reside'!C121</f>
        <v>0.03</v>
      </c>
    </row>
    <row r="13" spans="1:7">
      <c r="A13" s="102"/>
      <c r="B13" s="104" t="s">
        <v>190</v>
      </c>
      <c r="C13" s="107"/>
      <c r="D13" s="286"/>
      <c r="E13" s="102"/>
      <c r="F13" s="104" t="s">
        <v>198</v>
      </c>
      <c r="G13" s="107">
        <v>0.03</v>
      </c>
    </row>
    <row r="14" spans="1:7">
      <c r="A14" s="103"/>
      <c r="B14" s="102" t="s">
        <v>191</v>
      </c>
      <c r="C14" s="106">
        <f>SUM(C11:C13)</f>
        <v>3.6499999999999998E-2</v>
      </c>
      <c r="D14" s="286"/>
      <c r="E14" s="103"/>
      <c r="F14" s="102" t="s">
        <v>191</v>
      </c>
      <c r="G14" s="106">
        <f>SUM(G11:G13)</f>
        <v>6.6500000000000004E-2</v>
      </c>
    </row>
    <row r="15" spans="1:7">
      <c r="A15" s="102"/>
      <c r="B15" s="103" t="s">
        <v>192</v>
      </c>
      <c r="C15" s="102"/>
      <c r="D15" s="286"/>
      <c r="E15" s="102"/>
      <c r="F15" s="103" t="s">
        <v>192</v>
      </c>
      <c r="G15" s="102"/>
    </row>
    <row r="16" spans="1:7">
      <c r="A16" s="102" t="s">
        <v>193</v>
      </c>
      <c r="B16" s="104" t="s">
        <v>192</v>
      </c>
      <c r="C16" s="105">
        <v>5.8999999999999999E-3</v>
      </c>
      <c r="D16" s="286"/>
      <c r="E16" s="102" t="s">
        <v>193</v>
      </c>
      <c r="F16" s="104" t="s">
        <v>192</v>
      </c>
      <c r="G16" s="105">
        <v>5.8999999999999999E-3</v>
      </c>
    </row>
    <row r="17" spans="1:7">
      <c r="A17" s="102"/>
      <c r="B17" s="102" t="s">
        <v>194</v>
      </c>
      <c r="C17" s="108">
        <f>C16</f>
        <v>5.8999999999999999E-3</v>
      </c>
      <c r="D17" s="286"/>
      <c r="E17" s="102"/>
      <c r="F17" s="102" t="s">
        <v>194</v>
      </c>
      <c r="G17" s="108">
        <f>G16</f>
        <v>5.8999999999999999E-3</v>
      </c>
    </row>
    <row r="18" spans="1:7">
      <c r="A18" s="109"/>
      <c r="B18" s="110"/>
      <c r="C18" s="111"/>
      <c r="D18" s="286"/>
      <c r="E18" s="109"/>
      <c r="F18" s="110"/>
      <c r="G18" s="111"/>
    </row>
    <row r="19" spans="1:7">
      <c r="A19" s="287" t="s">
        <v>195</v>
      </c>
      <c r="B19" s="287"/>
      <c r="C19" s="287"/>
      <c r="D19" s="286"/>
      <c r="E19" s="287" t="s">
        <v>195</v>
      </c>
      <c r="F19" s="287"/>
      <c r="G19" s="287"/>
    </row>
    <row r="20" spans="1:7" ht="47.25" customHeight="1">
      <c r="A20" s="259"/>
      <c r="B20" s="259"/>
      <c r="C20" s="112">
        <f>(((1+(C3+C5+C4))*(1+C16)*(1+C8))/(1-C14))-1</f>
        <v>0.14004331613907617</v>
      </c>
      <c r="D20" s="286"/>
      <c r="E20" s="259"/>
      <c r="F20" s="259"/>
      <c r="G20" s="112">
        <f>(((1+(G3+G5+G4))*(1+G16)*(1+G8))/(1-G14))-1</f>
        <v>0.20561326095018773</v>
      </c>
    </row>
    <row r="21" spans="1:7" ht="29.25" customHeight="1">
      <c r="A21" s="284" t="s">
        <v>196</v>
      </c>
      <c r="B21" s="284"/>
      <c r="C21" s="114">
        <v>0.14019999999999999</v>
      </c>
      <c r="D21" s="100"/>
      <c r="E21" s="288" t="s">
        <v>197</v>
      </c>
      <c r="F21" s="288"/>
      <c r="G21" s="114">
        <v>0.25840000000000002</v>
      </c>
    </row>
  </sheetData>
  <mergeCells count="9">
    <mergeCell ref="A21:B21"/>
    <mergeCell ref="E21:F21"/>
    <mergeCell ref="A1:C1"/>
    <mergeCell ref="D1:D20"/>
    <mergeCell ref="E1:G1"/>
    <mergeCell ref="A19:C19"/>
    <mergeCell ref="E19:G19"/>
    <mergeCell ref="A20:B20"/>
    <mergeCell ref="E20:F20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5A10F-01D5-4268-A684-4F40A07E69FC}">
  <dimension ref="A1:G22"/>
  <sheetViews>
    <sheetView workbookViewId="0">
      <selection activeCell="M17" sqref="M17"/>
    </sheetView>
  </sheetViews>
  <sheetFormatPr defaultRowHeight="14.25"/>
  <cols>
    <col min="1" max="1" width="22.25" bestFit="1" customWidth="1"/>
    <col min="2" max="2" width="19.125" bestFit="1" customWidth="1"/>
    <col min="3" max="3" width="12.125" bestFit="1" customWidth="1"/>
    <col min="4" max="4" width="20.75" bestFit="1" customWidth="1"/>
    <col min="5" max="5" width="10.375" bestFit="1" customWidth="1"/>
    <col min="6" max="6" width="15.75" style="134" bestFit="1" customWidth="1"/>
  </cols>
  <sheetData>
    <row r="1" spans="1:7">
      <c r="A1" s="224"/>
      <c r="B1" s="224"/>
      <c r="C1" s="224"/>
      <c r="D1" s="224"/>
      <c r="E1" s="224"/>
      <c r="F1" s="224"/>
      <c r="G1" s="224"/>
    </row>
    <row r="2" spans="1:7">
      <c r="A2" s="224"/>
      <c r="B2" s="224"/>
      <c r="C2" s="224"/>
      <c r="D2" s="224"/>
      <c r="E2" s="224"/>
      <c r="F2" s="224"/>
      <c r="G2" s="224"/>
    </row>
    <row r="3" spans="1:7">
      <c r="A3" s="224"/>
      <c r="B3" s="224"/>
      <c r="C3" s="224"/>
      <c r="D3" s="224"/>
      <c r="E3" s="224"/>
      <c r="F3" s="224"/>
      <c r="G3" s="224"/>
    </row>
    <row r="4" spans="1:7">
      <c r="A4" s="224"/>
      <c r="B4" s="224"/>
      <c r="C4" s="224"/>
      <c r="D4" s="224"/>
      <c r="E4" s="224"/>
      <c r="F4" s="224"/>
      <c r="G4" s="224"/>
    </row>
    <row r="5" spans="1:7">
      <c r="A5" s="224"/>
      <c r="B5" s="224"/>
      <c r="C5" s="224"/>
      <c r="D5" s="224"/>
      <c r="E5" s="224"/>
      <c r="F5" s="224"/>
      <c r="G5" s="224"/>
    </row>
    <row r="6" spans="1:7">
      <c r="A6" s="224"/>
      <c r="B6" s="224"/>
      <c r="C6" s="224"/>
      <c r="D6" s="224"/>
      <c r="E6" s="224"/>
      <c r="F6" s="224"/>
      <c r="G6" s="224"/>
    </row>
    <row r="7" spans="1:7">
      <c r="A7" s="224"/>
      <c r="B7" s="224"/>
      <c r="C7" s="224"/>
      <c r="D7" s="224"/>
      <c r="E7" s="224"/>
      <c r="F7" s="224"/>
      <c r="G7" s="224"/>
    </row>
    <row r="8" spans="1:7">
      <c r="A8" s="138"/>
      <c r="B8" s="138"/>
      <c r="C8" s="138"/>
      <c r="D8" s="138"/>
      <c r="E8" s="138"/>
      <c r="F8" s="138"/>
    </row>
    <row r="9" spans="1:7" ht="19.5" customHeight="1">
      <c r="A9" s="289" t="s">
        <v>275</v>
      </c>
      <c r="B9" s="296"/>
      <c r="C9" s="296"/>
      <c r="D9" s="296"/>
      <c r="E9" s="296"/>
      <c r="F9" s="138"/>
    </row>
    <row r="10" spans="1:7">
      <c r="A10" s="290" t="s">
        <v>274</v>
      </c>
      <c r="B10" s="291"/>
      <c r="C10" s="291"/>
      <c r="D10" s="292"/>
      <c r="E10" s="92">
        <f>F6*292857.11*0.05</f>
        <v>0</v>
      </c>
      <c r="F10" s="138"/>
    </row>
    <row r="11" spans="1:7" ht="14.25" customHeight="1">
      <c r="A11" s="293" t="s">
        <v>272</v>
      </c>
      <c r="B11" s="294"/>
      <c r="C11" s="294"/>
      <c r="D11" s="295"/>
      <c r="E11" s="89">
        <f>E10/3/12</f>
        <v>0</v>
      </c>
      <c r="F11" s="138"/>
    </row>
    <row r="12" spans="1:7">
      <c r="A12" s="138"/>
      <c r="B12" s="138"/>
      <c r="C12" s="138"/>
      <c r="D12" s="138"/>
      <c r="E12" s="138"/>
      <c r="F12" s="138"/>
    </row>
    <row r="13" spans="1:7">
      <c r="A13" s="138"/>
      <c r="B13" s="138"/>
      <c r="C13" s="138"/>
      <c r="D13" s="138"/>
      <c r="E13" s="138"/>
      <c r="F13" s="138"/>
    </row>
    <row r="14" spans="1:7">
      <c r="A14" s="138"/>
      <c r="B14" s="138"/>
      <c r="C14" s="138"/>
      <c r="D14" s="138"/>
      <c r="E14" s="138"/>
      <c r="F14" s="138"/>
    </row>
    <row r="15" spans="1:7" ht="19.5" customHeight="1">
      <c r="A15" s="289" t="s">
        <v>276</v>
      </c>
      <c r="B15" s="296"/>
      <c r="C15" s="296"/>
      <c r="D15" s="296"/>
      <c r="E15" s="296"/>
      <c r="F15" s="138"/>
    </row>
    <row r="16" spans="1:7">
      <c r="A16" s="290" t="s">
        <v>224</v>
      </c>
      <c r="B16" s="291"/>
      <c r="C16" s="291"/>
      <c r="D16" s="292"/>
      <c r="E16" s="92">
        <f>80402.76*F6*0.05</f>
        <v>0</v>
      </c>
      <c r="F16" s="138"/>
    </row>
    <row r="17" spans="1:6" ht="14.25" customHeight="1">
      <c r="A17" s="293" t="s">
        <v>273</v>
      </c>
      <c r="B17" s="294"/>
      <c r="C17" s="294"/>
      <c r="D17" s="295"/>
      <c r="E17" s="89">
        <f>E16/1/12</f>
        <v>0</v>
      </c>
      <c r="F17" s="138"/>
    </row>
    <row r="20" spans="1:6">
      <c r="A20" s="224"/>
      <c r="B20" s="224"/>
      <c r="C20" s="224"/>
      <c r="D20" s="224"/>
      <c r="E20" s="224"/>
    </row>
    <row r="21" spans="1:6">
      <c r="A21" s="224"/>
      <c r="B21" s="224"/>
      <c r="C21" s="224"/>
      <c r="D21" s="224"/>
      <c r="E21" s="224"/>
    </row>
    <row r="22" spans="1:6">
      <c r="A22" s="224"/>
      <c r="B22" s="224"/>
      <c r="C22" s="224"/>
      <c r="D22" s="224"/>
      <c r="E22" s="224"/>
    </row>
  </sheetData>
  <mergeCells count="6">
    <mergeCell ref="A17:D17"/>
    <mergeCell ref="A9:E9"/>
    <mergeCell ref="A10:D10"/>
    <mergeCell ref="A11:D11"/>
    <mergeCell ref="A15:E15"/>
    <mergeCell ref="A16:D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Quadro_proposta FOZ</vt:lpstr>
      <vt:lpstr>quadro Proposta- DCA</vt:lpstr>
      <vt:lpstr>PCFP-CUSTOS_FIXOS-Equipe_Reside</vt:lpstr>
      <vt:lpstr>PCFP-CUSTOS_VARIÁVEIS</vt:lpstr>
      <vt:lpstr>LDI</vt:lpstr>
      <vt:lpstr>LDI2</vt:lpstr>
      <vt:lpstr>Garantia</vt:lpstr>
      <vt:lpstr>LDI!Area_de_impressao</vt:lpstr>
      <vt:lpstr>'Quadro_proposta FOZ'!Area_de_impressao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Laura Luisa Medeiros de Souza</cp:lastModifiedBy>
  <cp:revision>100</cp:revision>
  <cp:lastPrinted>2021-03-30T20:23:07Z</cp:lastPrinted>
  <dcterms:created xsi:type="dcterms:W3CDTF">2019-11-08T16:16:18Z</dcterms:created>
  <dcterms:modified xsi:type="dcterms:W3CDTF">2024-02-29T19:52:00Z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